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2" activeTab="6"/>
  </bookViews>
  <sheets>
    <sheet name="GoldCoin1" sheetId="1" r:id="rId1"/>
    <sheet name="GoldCoin2" sheetId="2" r:id="rId2"/>
    <sheet name="SilverCoin" sheetId="3" r:id="rId3"/>
    <sheet name="EngFrNethSilver" sheetId="4" r:id="rId4"/>
    <sheet name="AntwerpGold" sheetId="5" r:id="rId5"/>
    <sheet name="CoinValues" sheetId="6" r:id="rId6"/>
    <sheet name="CoinRates" sheetId="7" r:id="rId7"/>
  </sheets>
  <definedNames/>
  <calcPr fullCalcOnLoad="1"/>
</workbook>
</file>

<file path=xl/sharedStrings.xml><?xml version="1.0" encoding="utf-8"?>
<sst xmlns="http://schemas.openxmlformats.org/spreadsheetml/2006/main" count="696" uniqueCount="341">
  <si>
    <t>Table 1.A</t>
  </si>
  <si>
    <t>The Gold Coinages of the Habsburg Netherlands, France, and England, 1500 - 1540</t>
  </si>
  <si>
    <t>A.</t>
  </si>
  <si>
    <t>The Habsburg Netherlands, 1496 - 1556</t>
  </si>
  <si>
    <t>Date</t>
  </si>
  <si>
    <t>Name</t>
  </si>
  <si>
    <t>Carats</t>
  </si>
  <si>
    <t>Grains</t>
  </si>
  <si>
    <t>Percent</t>
  </si>
  <si>
    <t>Taille: no. cut</t>
  </si>
  <si>
    <t>Weight</t>
  </si>
  <si>
    <t>Pure Gold</t>
  </si>
  <si>
    <t>Grams Pure</t>
  </si>
  <si>
    <t>Value in</t>
  </si>
  <si>
    <t>Traite of</t>
  </si>
  <si>
    <t>Value of 1 kg.</t>
  </si>
  <si>
    <t>Ratio of</t>
  </si>
  <si>
    <t>maximum 12</t>
  </si>
  <si>
    <t>Purity</t>
  </si>
  <si>
    <t>to Marc</t>
  </si>
  <si>
    <t>in Grams</t>
  </si>
  <si>
    <t xml:space="preserve">Gold in £ </t>
  </si>
  <si>
    <t>shillings</t>
  </si>
  <si>
    <t>and d groot</t>
  </si>
  <si>
    <t>decimal</t>
  </si>
  <si>
    <t>Marc Fine Gold</t>
  </si>
  <si>
    <t>Fine Gold</t>
  </si>
  <si>
    <t>Fine Silver (DG)</t>
  </si>
  <si>
    <t>Gold:</t>
  </si>
  <si>
    <t>groot Flemish</t>
  </si>
  <si>
    <t>pounds (£)</t>
  </si>
  <si>
    <t>in £ groot Flem.</t>
  </si>
  <si>
    <t>Silver</t>
  </si>
  <si>
    <t>10 Apr 1496</t>
  </si>
  <si>
    <t>Toison d'or</t>
  </si>
  <si>
    <t>Philippus Florin</t>
  </si>
  <si>
    <t>20 Feb 1500</t>
  </si>
  <si>
    <t>15 Aug 1521</t>
  </si>
  <si>
    <t>réal d'or</t>
  </si>
  <si>
    <t>to</t>
  </si>
  <si>
    <t>demi-réal</t>
  </si>
  <si>
    <t>Carolus florin</t>
  </si>
  <si>
    <t>B.</t>
  </si>
  <si>
    <t>France, 1488 - 1541</t>
  </si>
  <si>
    <t>Year</t>
  </si>
  <si>
    <t>Taille: no.</t>
  </si>
  <si>
    <t>Pure Metal</t>
  </si>
  <si>
    <t>Official</t>
  </si>
  <si>
    <t>Gold in £</t>
  </si>
  <si>
    <t>Values in</t>
  </si>
  <si>
    <t>and in</t>
  </si>
  <si>
    <t>tournois</t>
  </si>
  <si>
    <t>pence (d.)</t>
  </si>
  <si>
    <t>in livres (£)</t>
  </si>
  <si>
    <t>Ecu soleil</t>
  </si>
  <si>
    <t>Ecu p.-epic</t>
  </si>
  <si>
    <t>Ecu croisee</t>
  </si>
  <si>
    <t>Henri d'or</t>
  </si>
  <si>
    <t>C.</t>
  </si>
  <si>
    <t>England, 1464 - 1526</t>
  </si>
  <si>
    <t>Fineness</t>
  </si>
  <si>
    <t>Fineness in</t>
  </si>
  <si>
    <t>Percentage</t>
  </si>
  <si>
    <t>No. Cut to</t>
  </si>
  <si>
    <t>Weight of</t>
  </si>
  <si>
    <t>Grams of</t>
  </si>
  <si>
    <t xml:space="preserve">Value in </t>
  </si>
  <si>
    <t xml:space="preserve">Nominal </t>
  </si>
  <si>
    <t>Ratio</t>
  </si>
  <si>
    <t>in Carats</t>
  </si>
  <si>
    <t>extra grains</t>
  </si>
  <si>
    <t>Fine (out of</t>
  </si>
  <si>
    <t>Tower Pound</t>
  </si>
  <si>
    <t>Troy Pound</t>
  </si>
  <si>
    <t>Gold</t>
  </si>
  <si>
    <t>Value of</t>
  </si>
  <si>
    <t>maximum 4</t>
  </si>
  <si>
    <t>24 carats)</t>
  </si>
  <si>
    <t>349.9144 g.</t>
  </si>
  <si>
    <t>373.242 g.</t>
  </si>
  <si>
    <t>Coin</t>
  </si>
  <si>
    <t>in Coin</t>
  </si>
  <si>
    <t>in £ sterling</t>
  </si>
  <si>
    <t>pence</t>
  </si>
  <si>
    <t>£ sterling</t>
  </si>
  <si>
    <t>Tower lb.</t>
  </si>
  <si>
    <t>Troy lb.</t>
  </si>
  <si>
    <t>1464 Aug</t>
  </si>
  <si>
    <t>Angel-Noble</t>
  </si>
  <si>
    <t>Ryal, Rose Noble</t>
  </si>
  <si>
    <t>1489 Oct</t>
  </si>
  <si>
    <t>Sovereign</t>
  </si>
  <si>
    <t>1526 August</t>
  </si>
  <si>
    <t>Rose Crown</t>
  </si>
  <si>
    <t>1526 Nov*</t>
  </si>
  <si>
    <t>St. George Noble</t>
  </si>
  <si>
    <t>Crown</t>
  </si>
  <si>
    <t>*</t>
  </si>
  <si>
    <t>In 1526, England's mints switched from the Tower Pound of 349.914 grams to the Troy Pound of 373.242 grams</t>
  </si>
  <si>
    <t>Sources:</t>
  </si>
  <si>
    <t>Habsburg Netherlands:</t>
  </si>
  <si>
    <t>Algemeen Rijksarchief België, Rekenkamer, registers nos. 17,880-85 (Antwerp mint accounts); nos. 18,123-56 (Bruges mint accounts).</t>
  </si>
  <si>
    <t>Louis Deschamps de Pas, Essai sur l'histoire monétaire des comtes de Flandre de la Maison d'Autriche</t>
  </si>
  <si>
    <t xml:space="preserve">et classement de leurs monnaies (1482-1556): Philippe-le-Beau (1482-1506): Suite', Revue numismatique, </t>
  </si>
  <si>
    <t>nouvelle serie, 15 (1874-1877), 89-93;</t>
  </si>
  <si>
    <t xml:space="preserve">Louis Deschamps de Pas, Essai sur l'histoire monétaire des comtes de Flandre de la Maison d'Autriche et classement de </t>
  </si>
  <si>
    <t>leurs monnaies (1482-1556): Charles-Quint (1506-1556)', Revue belge de numismatique, 32 (1876), 73-79, 82-83.</t>
  </si>
  <si>
    <t>France:</t>
  </si>
  <si>
    <t xml:space="preserve">Adrien Blanchet and Adophe E. Dieudonné, Manuel de numismatique française, 4 vols. (Paris, 1912-36), </t>
  </si>
  <si>
    <t>vol. II: Adolphe Dieudonné, Monnaies royales françaises depuis Hugues Capet jusqu'à la Révolution (Paris, 1916);</t>
  </si>
  <si>
    <t>Denis Richet, Le cours officiel des monnaies étrangères circulant en France au XVIe siècle', Revue historique, 225 (1961), 377 - 96.</t>
  </si>
  <si>
    <t>Frank Spooner, The International Economy and Monetary Movements in France, 1493 - 1725 (Cambridge, 1972).</t>
  </si>
  <si>
    <t>England:</t>
  </si>
  <si>
    <t>Christopher Challis, The Tudor Coinage (Manchester and New York, 1978).</t>
  </si>
  <si>
    <t>Christopher Challis, Lord Hastings to the Great Silver Recoinage, 1464 - 1699,' and</t>
  </si>
  <si>
    <t>C.E. Challis, Appendix 1.  Mint Output, 1220-1985,' both in C. E. Challis, ed.,  A New History of the Royal Mint</t>
  </si>
  <si>
    <t>(Cambridge, 1992), pp.  179-397, pp.  673-698.</t>
  </si>
  <si>
    <t>Albert Feavearyear, The Pound Sterling: A History of English Money, 2nd revised edn. by E. Victor Morgan (Oxford 1963).</t>
  </si>
  <si>
    <t>Louis Deschamps de Pas, Essai sur l'histoire monétaire des comtes de Flandre de la Maison d'Autriche et classement de leurs monnaies</t>
  </si>
  <si>
    <t>Table 1.B</t>
  </si>
  <si>
    <t>Official Values of Gold Coins, 1500 - 1540</t>
  </si>
  <si>
    <t>Gold Coin</t>
  </si>
  <si>
    <t>Country of</t>
  </si>
  <si>
    <t>Years</t>
  </si>
  <si>
    <t>in d. groot</t>
  </si>
  <si>
    <t>in d. tournois</t>
  </si>
  <si>
    <t>in £ tournois</t>
  </si>
  <si>
    <t>in d. sterling</t>
  </si>
  <si>
    <t>Origin</t>
  </si>
  <si>
    <t>Flanders</t>
  </si>
  <si>
    <t>France</t>
  </si>
  <si>
    <t>England</t>
  </si>
  <si>
    <t>1500-1520</t>
  </si>
  <si>
    <t/>
  </si>
  <si>
    <t>1521-1526</t>
  </si>
  <si>
    <t>1526-1540</t>
  </si>
  <si>
    <t>Ecu au soleil</t>
  </si>
  <si>
    <t>1500-1519</t>
  </si>
  <si>
    <t>August 1526</t>
  </si>
  <si>
    <t>Ducat &amp; Florin</t>
  </si>
  <si>
    <t>Italy</t>
  </si>
  <si>
    <t>Rhenish Florin</t>
  </si>
  <si>
    <t>Four Imperial Electors</t>
  </si>
  <si>
    <t>Table 2.</t>
  </si>
  <si>
    <t>The Silver Coinages of the Habsburg Netherlands, France, and England, 1500 - 1540</t>
  </si>
  <si>
    <t>Taille</t>
  </si>
  <si>
    <t>Titre</t>
  </si>
  <si>
    <t>Type</t>
  </si>
  <si>
    <t>Percent Fine</t>
  </si>
  <si>
    <t>G. Silver</t>
  </si>
  <si>
    <t>Traite per</t>
  </si>
  <si>
    <t>Value of 1 kg</t>
  </si>
  <si>
    <t>d. groot</t>
  </si>
  <si>
    <t>deniers</t>
  </si>
  <si>
    <t>argent-le-roi</t>
  </si>
  <si>
    <t>Pure silver</t>
  </si>
  <si>
    <t>per d  gr.</t>
  </si>
  <si>
    <t>Marc AR</t>
  </si>
  <si>
    <t>Marc AF</t>
  </si>
  <si>
    <t xml:space="preserve">pure silver </t>
  </si>
  <si>
    <t>Flemish</t>
  </si>
  <si>
    <t>argent fin</t>
  </si>
  <si>
    <t>in £ groot</t>
  </si>
  <si>
    <t>Toison d'argent</t>
  </si>
  <si>
    <t>AR</t>
  </si>
  <si>
    <t>double patard</t>
  </si>
  <si>
    <t>patard, stuiver</t>
  </si>
  <si>
    <t xml:space="preserve">Sept 1505 </t>
  </si>
  <si>
    <t>réal; royal d'Espaigne</t>
  </si>
  <si>
    <t>6 1/2</t>
  </si>
  <si>
    <t>groot</t>
  </si>
  <si>
    <t>1</t>
  </si>
  <si>
    <t>Aug 1506</t>
  </si>
  <si>
    <t>demi groot</t>
  </si>
  <si>
    <t>1/2</t>
  </si>
  <si>
    <t>gigot; quart de gros</t>
  </si>
  <si>
    <t>1/4</t>
  </si>
  <si>
    <t>July 1507</t>
  </si>
  <si>
    <t>quadruple mite</t>
  </si>
  <si>
    <t>1/6</t>
  </si>
  <si>
    <t>double mite</t>
  </si>
  <si>
    <t>1/12</t>
  </si>
  <si>
    <t>20 Feb. 1521</t>
  </si>
  <si>
    <t>double Carolus; réal</t>
  </si>
  <si>
    <t>AF</t>
  </si>
  <si>
    <t>Carolus; demi-réal</t>
  </si>
  <si>
    <t>d. tournois</t>
  </si>
  <si>
    <t>Fine AR</t>
  </si>
  <si>
    <t>per d.t.</t>
  </si>
  <si>
    <t>de Troyes</t>
  </si>
  <si>
    <t>April 1488</t>
  </si>
  <si>
    <t>Blanc Couronne (douzain)</t>
  </si>
  <si>
    <t>Nov 1488</t>
  </si>
  <si>
    <t>Karolus</t>
  </si>
  <si>
    <t>May 1489</t>
  </si>
  <si>
    <t>Gros de Roi</t>
  </si>
  <si>
    <t>April 1498</t>
  </si>
  <si>
    <t>Nov. 1507</t>
  </si>
  <si>
    <t>Grand Blanc (douzain)</t>
  </si>
  <si>
    <t>Feb 1512</t>
  </si>
  <si>
    <t>Gros</t>
  </si>
  <si>
    <t>Demi-gros</t>
  </si>
  <si>
    <t>Ludovicus</t>
  </si>
  <si>
    <t>April 1513</t>
  </si>
  <si>
    <t>Teston</t>
  </si>
  <si>
    <t>Jan. 1515</t>
  </si>
  <si>
    <t>July 1519</t>
  </si>
  <si>
    <t>Dizain</t>
  </si>
  <si>
    <t>Sept 1521</t>
  </si>
  <si>
    <t>Feb. 1540</t>
  </si>
  <si>
    <t>Douzain Salam.</t>
  </si>
  <si>
    <t>Mar. 1541</t>
  </si>
  <si>
    <t>Douzain</t>
  </si>
  <si>
    <t>Value</t>
  </si>
  <si>
    <t>No. of Coins</t>
  </si>
  <si>
    <t>Fineness:**</t>
  </si>
  <si>
    <t>Fineness:</t>
  </si>
  <si>
    <t>Weight of the</t>
  </si>
  <si>
    <t>in d.</t>
  </si>
  <si>
    <t>to the Tower</t>
  </si>
  <si>
    <t>to the Troy</t>
  </si>
  <si>
    <t>ounces</t>
  </si>
  <si>
    <t>pennyweight</t>
  </si>
  <si>
    <t>Coin in</t>
  </si>
  <si>
    <t>of Coin</t>
  </si>
  <si>
    <t>Tower</t>
  </si>
  <si>
    <t>Troy</t>
  </si>
  <si>
    <t>of kg Pure</t>
  </si>
  <si>
    <t>sterling</t>
  </si>
  <si>
    <t>Pound</t>
  </si>
  <si>
    <t>Pound***</t>
  </si>
  <si>
    <t>[out of 12]</t>
  </si>
  <si>
    <t>[out of 20]</t>
  </si>
  <si>
    <t>Troy Grains</t>
  </si>
  <si>
    <t>in the coin</t>
  </si>
  <si>
    <t>lb. in</t>
  </si>
  <si>
    <t>Silver in</t>
  </si>
  <si>
    <t>oz.</t>
  </si>
  <si>
    <t>dwt.</t>
  </si>
  <si>
    <t>dec. £ st.</t>
  </si>
  <si>
    <t>penny</t>
  </si>
  <si>
    <t>shilling</t>
  </si>
  <si>
    <t>1526 Nov**</t>
  </si>
  <si>
    <t>Notes:</t>
  </si>
  <si>
    <t>With the monetary ordinance of February 1521 (ns), the Habsburg monetary authorities shifted the standard for</t>
  </si>
  <si>
    <t>fineness from argent-le-roi (23/24 or 95.833% pure) to argent fin (100% pure). See the text</t>
  </si>
  <si>
    <t>**</t>
  </si>
  <si>
    <t>Sterling fineness: 11 oz 2 dwt of pure silver and 18 dwt of copper = 92.5% pure silver</t>
  </si>
  <si>
    <t>***</t>
  </si>
  <si>
    <t>In 1526, the royal mints switched from the Tower pound of 349.914 grams to the Troy pound of 373.242 grams</t>
  </si>
  <si>
    <t>Table 3.</t>
  </si>
  <si>
    <t>Relative Values of Flemish (Burgundian-Habsburg), French, and English</t>
  </si>
  <si>
    <t>Silver Coins: in Flemish d groot</t>
  </si>
  <si>
    <t>Silver content:</t>
  </si>
  <si>
    <t xml:space="preserve">French </t>
  </si>
  <si>
    <t>English</t>
  </si>
  <si>
    <t>Flemish:</t>
  </si>
  <si>
    <t>English:</t>
  </si>
  <si>
    <t>Patard/Stuiver</t>
  </si>
  <si>
    <t>1 kg</t>
  </si>
  <si>
    <t>French</t>
  </si>
  <si>
    <t>= 2d groot</t>
  </si>
  <si>
    <t>change from</t>
  </si>
  <si>
    <t>= 12 d tournois</t>
  </si>
  <si>
    <t>= 1d sterl.</t>
  </si>
  <si>
    <t>Fine Silver</t>
  </si>
  <si>
    <t>ratios</t>
  </si>
  <si>
    <t>Silver grams</t>
  </si>
  <si>
    <t>previous coin</t>
  </si>
  <si>
    <t>per kg Ag</t>
  </si>
  <si>
    <t>Table 4.</t>
  </si>
  <si>
    <t>Market Prices for Gold at the Antwerp Fairs and</t>
  </si>
  <si>
    <t>Official Values of Burgundian-Habsburg Gold Coins:</t>
  </si>
  <si>
    <t>by Mint Ordinances and Monetary Decrees</t>
  </si>
  <si>
    <t>Evaluations in Pounds Groot Flemish per Kilogram of Fine Metal</t>
  </si>
  <si>
    <t>Grams of fine gold</t>
  </si>
  <si>
    <t>Value of 1 kg. of</t>
  </si>
  <si>
    <t>Official Value</t>
  </si>
  <si>
    <t>Grams gold</t>
  </si>
  <si>
    <t>Market Price</t>
  </si>
  <si>
    <t>in £ groot Brabant</t>
  </si>
  <si>
    <t>fine gold at Antwerp</t>
  </si>
  <si>
    <t>of 1 kg Fine Gold</t>
  </si>
  <si>
    <t>in £ groot Br</t>
  </si>
  <si>
    <t>as % of</t>
  </si>
  <si>
    <t>on Antwerp market</t>
  </si>
  <si>
    <t>in £ groot Flemish</t>
  </si>
  <si>
    <t>in £ gr. Flemish</t>
  </si>
  <si>
    <t>Monetary Decrees</t>
  </si>
  <si>
    <t>Mint</t>
  </si>
  <si>
    <t>Mint Ordinances</t>
  </si>
  <si>
    <t>Note: The coinage changes of February 1521 initially tried to set gold values, with 0.0293 grams fine gold in the</t>
  </si>
  <si>
    <t>Brabant groat (0.04395 g in the Flemish groat); but the government was forced to adjust the rate in August to</t>
  </si>
  <si>
    <t>0.0276 grams fine gold in the Brabant groot.  According to Van der Wee, in March 1527, the government restored</t>
  </si>
  <si>
    <t>the original rate of February 1521; but it is not clear that this lower exchange rate held.</t>
  </si>
  <si>
    <t>Source:  Herman Van der Wee, The Growth of the Antwerp Market and the European Economy, fourteenth-sixteenth</t>
  </si>
  <si>
    <t>centuries (The Hague, 1963), vol. I: Statistics, Table XVI, pp. 133-34.</t>
  </si>
  <si>
    <t>Coinage Rates and Values</t>
  </si>
  <si>
    <t xml:space="preserve"> 8.167d gr. Fl.</t>
  </si>
  <si>
    <t>grams of pure silver in the:</t>
  </si>
  <si>
    <t>values in d. groot Flemish</t>
  </si>
  <si>
    <t>Patard:</t>
  </si>
  <si>
    <t>Patard</t>
  </si>
  <si>
    <t xml:space="preserve">St. Philip </t>
  </si>
  <si>
    <t>Carolus</t>
  </si>
  <si>
    <t>Italian</t>
  </si>
  <si>
    <t>Burgundian</t>
  </si>
  <si>
    <t>florin</t>
  </si>
  <si>
    <t>écu soleil</t>
  </si>
  <si>
    <t>ducat</t>
  </si>
  <si>
    <t>gold in Carolus</t>
  </si>
  <si>
    <t>gold in florin</t>
  </si>
  <si>
    <t>Values of French, English, and Italian coins in Flemish d. groot</t>
  </si>
  <si>
    <t>a</t>
  </si>
  <si>
    <t>value of the French blanc or douzain in d. groot Flemish</t>
  </si>
  <si>
    <t>1500-18</t>
  </si>
  <si>
    <t>1519-20</t>
  </si>
  <si>
    <t>1521-39</t>
  </si>
  <si>
    <t>1540-41</t>
  </si>
  <si>
    <t>b</t>
  </si>
  <si>
    <t>value of the English sterling penny in d. groot Flemish</t>
  </si>
  <si>
    <t>1500-20</t>
  </si>
  <si>
    <t>1521-25</t>
  </si>
  <si>
    <t>1526-40</t>
  </si>
  <si>
    <t>c</t>
  </si>
  <si>
    <t>value of the Burgundian-Habsburg florin St. Philip in d. groot Flemish</t>
  </si>
  <si>
    <t>1521-40</t>
  </si>
  <si>
    <t>estimated only by relative gold contents</t>
  </si>
  <si>
    <t>d</t>
  </si>
  <si>
    <t>value of the Burgundian-Habsburg florin Carolus in d. groot Flemish</t>
  </si>
  <si>
    <t>1521-48</t>
  </si>
  <si>
    <t>originally issued Feb. 1521 at 40d</t>
  </si>
  <si>
    <t>e</t>
  </si>
  <si>
    <t>value of the French écu au soleil in d. groot Flemish</t>
  </si>
  <si>
    <t>grams fine gold</t>
  </si>
  <si>
    <t>f</t>
  </si>
  <si>
    <t>value of Italian florins and ducats in d. groot Flemish</t>
  </si>
  <si>
    <t>g</t>
  </si>
  <si>
    <t>value of the English angle-noble in d. groot Flemish</t>
  </si>
  <si>
    <t>1521-26</t>
  </si>
  <si>
    <t>1527-48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</si>
</sst>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0.0000"/>
    <numFmt numFmtId="167" formatCode="#,##0.000"/>
    <numFmt numFmtId="168" formatCode="0.00000"/>
    <numFmt numFmtId="169" formatCode="0.0"/>
    <numFmt numFmtId="170" formatCode="#,##0.00000"/>
    <numFmt numFmtId="171" formatCode="#,##0.000000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77">
    <xf numFmtId="0" fontId="0" fillId="0" borderId="0" xfId="0" applyAlignment="1">
      <alignment/>
    </xf>
    <xf numFmtId="0" fontId="3" fillId="2" borderId="2" xfId="0" applyBorder="1" applyAlignment="1">
      <alignment horizontal="center"/>
    </xf>
    <xf numFmtId="0" fontId="0" fillId="0" borderId="2" xfId="0" applyBorder="1" applyAlignment="1">
      <alignment/>
    </xf>
    <xf numFmtId="2" fontId="3" fillId="2" borderId="2" xfId="0" applyBorder="1" applyAlignment="1">
      <alignment/>
    </xf>
    <xf numFmtId="164" fontId="0" fillId="2" borderId="2" xfId="0" applyBorder="1" applyAlignment="1">
      <alignment/>
    </xf>
    <xf numFmtId="165" fontId="0" fillId="2" borderId="2" xfId="0" applyBorder="1" applyAlignment="1">
      <alignment/>
    </xf>
    <xf numFmtId="166" fontId="0" fillId="2" borderId="2" xfId="0" applyBorder="1" applyAlignment="1">
      <alignment/>
    </xf>
    <xf numFmtId="1" fontId="0" fillId="2" borderId="2" xfId="0" applyBorder="1" applyAlignment="1">
      <alignment/>
    </xf>
    <xf numFmtId="0" fontId="0" fillId="0" borderId="0" xfId="0" applyBorder="1" applyAlignment="1">
      <alignment/>
    </xf>
    <xf numFmtId="0" fontId="3" fillId="2" borderId="2" xfId="0" applyBorder="1" applyAlignment="1">
      <alignment horizontal="left"/>
    </xf>
    <xf numFmtId="164" fontId="3" fillId="2" borderId="2" xfId="0" applyBorder="1" applyAlignment="1">
      <alignment/>
    </xf>
    <xf numFmtId="0" fontId="3" fillId="2" borderId="2" xfId="0" applyBorder="1" applyAlignment="1">
      <alignment/>
    </xf>
    <xf numFmtId="1" fontId="3" fillId="2" borderId="2" xfId="0" applyBorder="1" applyAlignment="1">
      <alignment/>
    </xf>
    <xf numFmtId="165" fontId="3" fillId="2" borderId="2" xfId="0" applyBorder="1" applyAlignment="1">
      <alignment/>
    </xf>
    <xf numFmtId="166" fontId="3" fillId="2" borderId="2" xfId="0" applyBorder="1" applyAlignment="1">
      <alignment/>
    </xf>
    <xf numFmtId="0" fontId="0" fillId="2" borderId="2" xfId="0" applyBorder="1" applyAlignment="1">
      <alignment/>
    </xf>
    <xf numFmtId="167" fontId="0" fillId="2" borderId="2" xfId="0" applyBorder="1" applyAlignment="1">
      <alignment/>
    </xf>
    <xf numFmtId="0" fontId="3" fillId="0" borderId="2" xfId="0" applyBorder="1" applyAlignment="1">
      <alignment/>
    </xf>
    <xf numFmtId="2" fontId="0" fillId="2" borderId="2" xfId="0" applyBorder="1" applyAlignment="1">
      <alignment/>
    </xf>
    <xf numFmtId="164" fontId="0" fillId="0" borderId="2" xfId="0" applyBorder="1" applyAlignment="1">
      <alignment/>
    </xf>
    <xf numFmtId="0" fontId="3" fillId="2" borderId="0" xfId="0" applyBorder="1" applyAlignment="1">
      <alignment horizontal="center"/>
    </xf>
    <xf numFmtId="0" fontId="0" fillId="0" borderId="0" xfId="0" applyBorder="1" applyAlignment="1">
      <alignment/>
    </xf>
    <xf numFmtId="1" fontId="0" fillId="2" borderId="0" xfId="0" applyBorder="1" applyAlignment="1">
      <alignment/>
    </xf>
    <xf numFmtId="164" fontId="0" fillId="2" borderId="0" xfId="0" applyBorder="1" applyAlignment="1">
      <alignment/>
    </xf>
    <xf numFmtId="165" fontId="0" fillId="2" borderId="0" xfId="0" applyBorder="1" applyAlignment="1">
      <alignment/>
    </xf>
    <xf numFmtId="166" fontId="0" fillId="2" borderId="0" xfId="0" applyBorder="1" applyAlignment="1">
      <alignment/>
    </xf>
    <xf numFmtId="0" fontId="3" fillId="2" borderId="0" xfId="0" applyAlignment="1">
      <alignment horizontal="center"/>
    </xf>
    <xf numFmtId="1" fontId="0" fillId="2" borderId="0" xfId="0" applyAlignment="1">
      <alignment/>
    </xf>
    <xf numFmtId="164" fontId="0" fillId="2" borderId="0" xfId="0" applyAlignment="1">
      <alignment/>
    </xf>
    <xf numFmtId="165" fontId="0" fillId="2" borderId="0" xfId="0" applyAlignment="1">
      <alignment/>
    </xf>
    <xf numFmtId="166" fontId="0" fillId="2" borderId="0" xfId="0" applyAlignment="1">
      <alignment/>
    </xf>
    <xf numFmtId="0" fontId="3" fillId="0" borderId="0" xfId="0" applyAlignment="1">
      <alignment/>
    </xf>
    <xf numFmtId="1" fontId="3" fillId="0" borderId="0" xfId="0" applyAlignment="1">
      <alignment/>
    </xf>
    <xf numFmtId="164" fontId="3" fillId="0" borderId="0" xfId="0" applyAlignment="1">
      <alignment/>
    </xf>
    <xf numFmtId="1" fontId="0" fillId="0" borderId="0" xfId="0" applyAlignment="1">
      <alignment/>
    </xf>
    <xf numFmtId="164" fontId="0" fillId="0" borderId="0" xfId="0" applyAlignment="1">
      <alignment/>
    </xf>
    <xf numFmtId="0" fontId="3" fillId="0" borderId="0" xfId="0" applyAlignment="1">
      <alignment horizontal="left"/>
    </xf>
    <xf numFmtId="0" fontId="0" fillId="0" borderId="0" xfId="0" applyAlignment="1">
      <alignment horizontal="center"/>
    </xf>
    <xf numFmtId="0" fontId="3" fillId="2" borderId="0" xfId="0" applyAlignment="1">
      <alignment horizontal="left"/>
    </xf>
    <xf numFmtId="2" fontId="0" fillId="2" borderId="0" xfId="0" applyAlignment="1">
      <alignment/>
    </xf>
    <xf numFmtId="0" fontId="3" fillId="2" borderId="0" xfId="0" applyAlignment="1">
      <alignment/>
    </xf>
    <xf numFmtId="2" fontId="3" fillId="2" borderId="0" xfId="0" applyAlignment="1">
      <alignment/>
    </xf>
    <xf numFmtId="166" fontId="3" fillId="2" borderId="0" xfId="0" applyAlignment="1">
      <alignment/>
    </xf>
    <xf numFmtId="1" fontId="3" fillId="2" borderId="0" xfId="0" applyAlignment="1">
      <alignment/>
    </xf>
    <xf numFmtId="1" fontId="3" fillId="2" borderId="0" xfId="0" applyAlignment="1">
      <alignment horizontal="center"/>
    </xf>
    <xf numFmtId="10" fontId="3" fillId="2" borderId="0" xfId="0" applyAlignment="1">
      <alignment/>
    </xf>
    <xf numFmtId="164" fontId="3" fillId="2" borderId="0" xfId="0" applyAlignment="1">
      <alignment/>
    </xf>
    <xf numFmtId="168" fontId="3" fillId="2" borderId="0" xfId="0" applyAlignment="1">
      <alignment/>
    </xf>
    <xf numFmtId="167" fontId="3" fillId="2" borderId="0" xfId="0" applyAlignment="1">
      <alignment/>
    </xf>
    <xf numFmtId="1" fontId="0" fillId="2" borderId="0" xfId="0" applyAlignment="1">
      <alignment horizontal="center"/>
    </xf>
    <xf numFmtId="168" fontId="0" fillId="2" borderId="0" xfId="0" applyAlignment="1">
      <alignment/>
    </xf>
    <xf numFmtId="10" fontId="0" fillId="2" borderId="0" xfId="0" applyAlignment="1">
      <alignment/>
    </xf>
    <xf numFmtId="0" fontId="0" fillId="2" borderId="0" xfId="0" applyAlignment="1">
      <alignment horizontal="center"/>
    </xf>
    <xf numFmtId="167" fontId="0" fillId="2" borderId="0" xfId="0" applyAlignment="1">
      <alignment/>
    </xf>
    <xf numFmtId="0" fontId="0" fillId="2" borderId="0" xfId="0" applyAlignment="1">
      <alignment/>
    </xf>
    <xf numFmtId="10" fontId="0" fillId="0" borderId="0" xfId="0" applyAlignment="1">
      <alignment/>
    </xf>
    <xf numFmtId="164" fontId="3" fillId="2" borderId="0" xfId="0" applyAlignment="1">
      <alignment horizontal="right"/>
    </xf>
    <xf numFmtId="165" fontId="3" fillId="2" borderId="0" xfId="0" applyAlignment="1">
      <alignment horizontal="center"/>
    </xf>
    <xf numFmtId="0" fontId="0" fillId="2" borderId="0" xfId="0" applyAlignment="1">
      <alignment horizontal="left"/>
    </xf>
    <xf numFmtId="0" fontId="3" fillId="2" borderId="0" xfId="0" applyAlignment="1">
      <alignment horizontal="right"/>
    </xf>
    <xf numFmtId="164" fontId="3" fillId="2" borderId="0" xfId="0" applyAlignment="1">
      <alignment horizontal="left"/>
    </xf>
    <xf numFmtId="0" fontId="0" fillId="2" borderId="0" xfId="0" applyAlignment="1">
      <alignment horizontal="right"/>
    </xf>
    <xf numFmtId="165" fontId="0" fillId="2" borderId="0" xfId="0" applyAlignment="1">
      <alignment horizontal="center"/>
    </xf>
    <xf numFmtId="165" fontId="0" fillId="2" borderId="0" xfId="0" applyAlignment="1">
      <alignment horizontal="right"/>
    </xf>
    <xf numFmtId="165" fontId="0" fillId="2" borderId="0" xfId="0" applyAlignment="1">
      <alignment horizontal="left"/>
    </xf>
    <xf numFmtId="0" fontId="3" fillId="2" borderId="0" xfId="0" applyAlignment="1">
      <alignment horizontal="centerContinuous"/>
    </xf>
    <xf numFmtId="166" fontId="3" fillId="0" borderId="0" xfId="0" applyAlignment="1">
      <alignment/>
    </xf>
    <xf numFmtId="166" fontId="0" fillId="0" borderId="0" xfId="0" applyAlignment="1">
      <alignment/>
    </xf>
    <xf numFmtId="0" fontId="3" fillId="0" borderId="0" xfId="0" applyAlignment="1">
      <alignment horizontal="center"/>
    </xf>
    <xf numFmtId="10" fontId="3" fillId="0" borderId="0" xfId="0" applyAlignment="1">
      <alignment/>
    </xf>
    <xf numFmtId="0" fontId="4" fillId="0" borderId="0" xfId="0" applyAlignment="1">
      <alignment/>
    </xf>
    <xf numFmtId="168" fontId="0" fillId="0" borderId="0" xfId="0" applyAlignment="1">
      <alignment/>
    </xf>
    <xf numFmtId="2" fontId="0" fillId="0" borderId="0" xfId="0" applyAlignment="1">
      <alignment/>
    </xf>
    <xf numFmtId="168" fontId="3" fillId="0" borderId="0" xfId="0" applyAlignment="1">
      <alignment/>
    </xf>
    <xf numFmtId="2" fontId="3" fillId="0" borderId="0" xfId="0" applyAlignment="1">
      <alignment/>
    </xf>
    <xf numFmtId="4" fontId="0" fillId="0" borderId="0" xfId="0" applyAlignment="1">
      <alignment/>
    </xf>
    <xf numFmtId="167" fontId="0" fillId="0" borderId="0" xfId="0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workbookViewId="0" topLeftCell="A1">
      <selection activeCell="F6" sqref="F6"/>
    </sheetView>
  </sheetViews>
  <sheetFormatPr defaultColWidth="9.140625" defaultRowHeight="12.75"/>
  <cols>
    <col min="1" max="1" width="12.28125" style="26" customWidth="1"/>
    <col min="2" max="2" width="14.28125" style="0" customWidth="1"/>
    <col min="3" max="3" width="9.57421875" style="27" customWidth="1"/>
    <col min="4" max="4" width="13.28125" style="28" customWidth="1"/>
    <col min="5" max="5" width="8.8515625" style="29" customWidth="1"/>
    <col min="6" max="6" width="14.00390625" style="28" customWidth="1"/>
    <col min="7" max="7" width="9.7109375" style="30" customWidth="1"/>
    <col min="8" max="8" width="10.7109375" style="30" customWidth="1"/>
    <col min="9" max="9" width="14.00390625" style="30" customWidth="1"/>
    <col min="10" max="10" width="12.140625" style="27" customWidth="1"/>
    <col min="11" max="11" width="12.00390625" style="28" customWidth="1"/>
    <col min="12" max="12" width="10.8515625" style="28" customWidth="1"/>
    <col min="13" max="14" width="15.8515625" style="28" customWidth="1"/>
    <col min="15" max="15" width="15.8515625" style="0" customWidth="1"/>
    <col min="16" max="16" width="14.00390625" style="28" customWidth="1"/>
    <col min="17" max="17" width="15.8515625" style="0" customWidth="1"/>
    <col min="18" max="18" width="6.8515625" style="0" customWidth="1"/>
  </cols>
  <sheetData>
    <row r="1" spans="1:20" ht="12.75">
      <c r="A1" s="1" t="s">
        <v>0</v>
      </c>
      <c r="B1" s="2"/>
      <c r="C1" s="3" t="s">
        <v>1</v>
      </c>
      <c r="D1" s="4"/>
      <c r="E1" s="5"/>
      <c r="F1" s="4"/>
      <c r="G1" s="6"/>
      <c r="H1" s="6"/>
      <c r="I1" s="6"/>
      <c r="J1" s="7"/>
      <c r="K1" s="4"/>
      <c r="L1" s="4"/>
      <c r="M1" s="4"/>
      <c r="N1" s="4"/>
      <c r="O1" s="2"/>
      <c r="P1" s="4"/>
      <c r="Q1" s="2"/>
      <c r="R1" s="2"/>
      <c r="S1" s="2"/>
      <c r="T1" s="8"/>
    </row>
    <row r="2" spans="1:20" ht="12.75">
      <c r="A2" s="1"/>
      <c r="B2" s="2"/>
      <c r="C2" s="7"/>
      <c r="D2" s="4"/>
      <c r="E2" s="5"/>
      <c r="F2" s="4"/>
      <c r="G2" s="6"/>
      <c r="H2" s="6"/>
      <c r="I2" s="6"/>
      <c r="J2" s="7"/>
      <c r="K2" s="4"/>
      <c r="L2" s="4"/>
      <c r="M2" s="4"/>
      <c r="N2" s="4"/>
      <c r="O2" s="2"/>
      <c r="P2" s="4"/>
      <c r="Q2" s="2"/>
      <c r="R2" s="2"/>
      <c r="S2" s="2"/>
      <c r="T2" s="8"/>
    </row>
    <row r="3" spans="1:20" ht="12.75">
      <c r="A3" s="1"/>
      <c r="B3" s="2"/>
      <c r="C3" s="7"/>
      <c r="D3" s="4"/>
      <c r="E3" s="5"/>
      <c r="F3" s="4"/>
      <c r="G3" s="6"/>
      <c r="H3" s="6"/>
      <c r="I3" s="6"/>
      <c r="J3" s="7"/>
      <c r="K3" s="4"/>
      <c r="L3" s="4"/>
      <c r="M3" s="4"/>
      <c r="N3" s="4"/>
      <c r="O3" s="2"/>
      <c r="P3" s="4"/>
      <c r="Q3" s="2"/>
      <c r="R3" s="2"/>
      <c r="S3" s="2"/>
      <c r="T3" s="8"/>
    </row>
    <row r="4" spans="1:20" ht="12.75">
      <c r="A4" s="1"/>
      <c r="B4" s="2"/>
      <c r="C4" s="7"/>
      <c r="D4" s="4"/>
      <c r="E4" s="5"/>
      <c r="F4" s="4"/>
      <c r="G4" s="6"/>
      <c r="H4" s="6"/>
      <c r="I4" s="6"/>
      <c r="J4" s="7"/>
      <c r="K4" s="4"/>
      <c r="L4" s="4"/>
      <c r="M4" s="4"/>
      <c r="N4" s="4"/>
      <c r="O4" s="2"/>
      <c r="P4" s="4"/>
      <c r="Q4" s="2"/>
      <c r="R4" s="2"/>
      <c r="S4" s="2"/>
      <c r="T4" s="8"/>
    </row>
    <row r="5" spans="1:20" ht="12.75">
      <c r="A5" s="1" t="s">
        <v>2</v>
      </c>
      <c r="B5" s="9" t="s">
        <v>3</v>
      </c>
      <c r="C5" s="7"/>
      <c r="D5" s="10"/>
      <c r="E5" s="5"/>
      <c r="F5" s="4"/>
      <c r="G5" s="6"/>
      <c r="H5" s="6"/>
      <c r="I5" s="6"/>
      <c r="J5" s="7"/>
      <c r="K5" s="4"/>
      <c r="L5" s="4"/>
      <c r="M5" s="6"/>
      <c r="N5" s="4"/>
      <c r="O5" s="6"/>
      <c r="P5" s="4"/>
      <c r="Q5" s="4"/>
      <c r="R5" s="2"/>
      <c r="S5" s="2"/>
      <c r="T5" s="8"/>
    </row>
    <row r="6" spans="1:20" ht="12.75">
      <c r="A6" s="1"/>
      <c r="B6" s="2"/>
      <c r="C6" s="7"/>
      <c r="D6" s="4"/>
      <c r="E6" s="5"/>
      <c r="F6" s="4"/>
      <c r="G6" s="6"/>
      <c r="H6" s="6"/>
      <c r="I6" s="6"/>
      <c r="J6" s="7"/>
      <c r="K6" s="4"/>
      <c r="L6" s="4"/>
      <c r="M6" s="6"/>
      <c r="N6" s="4"/>
      <c r="O6" s="6"/>
      <c r="P6" s="4"/>
      <c r="Q6" s="4"/>
      <c r="R6" s="2"/>
      <c r="S6" s="2"/>
      <c r="T6" s="8"/>
    </row>
    <row r="7" spans="1:20" ht="12.75">
      <c r="A7" s="1" t="s">
        <v>4</v>
      </c>
      <c r="B7" s="11" t="s">
        <v>5</v>
      </c>
      <c r="C7" s="12" t="s">
        <v>6</v>
      </c>
      <c r="D7" s="10" t="s">
        <v>7</v>
      </c>
      <c r="E7" s="13" t="s">
        <v>8</v>
      </c>
      <c r="F7" s="10" t="s">
        <v>9</v>
      </c>
      <c r="G7" s="14" t="s">
        <v>10</v>
      </c>
      <c r="H7" s="14" t="s">
        <v>11</v>
      </c>
      <c r="I7" s="14" t="s">
        <v>12</v>
      </c>
      <c r="J7" s="12" t="s">
        <v>13</v>
      </c>
      <c r="K7" s="10" t="s">
        <v>13</v>
      </c>
      <c r="L7" s="10" t="s">
        <v>13</v>
      </c>
      <c r="M7" s="14" t="s">
        <v>14</v>
      </c>
      <c r="N7" s="10" t="s">
        <v>15</v>
      </c>
      <c r="O7" s="14" t="s">
        <v>15</v>
      </c>
      <c r="P7" s="10" t="s">
        <v>16</v>
      </c>
      <c r="Q7" s="2"/>
      <c r="R7" s="2"/>
      <c r="S7" s="2"/>
      <c r="T7" s="8"/>
    </row>
    <row r="8" spans="1:20" ht="12.75">
      <c r="A8" s="1"/>
      <c r="B8" s="11"/>
      <c r="C8" s="12"/>
      <c r="D8" s="10" t="s">
        <v>17</v>
      </c>
      <c r="E8" s="13" t="s">
        <v>18</v>
      </c>
      <c r="F8" s="10" t="s">
        <v>19</v>
      </c>
      <c r="G8" s="14" t="s">
        <v>20</v>
      </c>
      <c r="H8" s="14" t="s">
        <v>20</v>
      </c>
      <c r="I8" s="14" t="s">
        <v>21</v>
      </c>
      <c r="J8" s="12" t="s">
        <v>22</v>
      </c>
      <c r="K8" s="10" t="s">
        <v>23</v>
      </c>
      <c r="L8" s="10" t="s">
        <v>24</v>
      </c>
      <c r="M8" s="14" t="s">
        <v>25</v>
      </c>
      <c r="N8" s="10" t="s">
        <v>26</v>
      </c>
      <c r="O8" s="11" t="s">
        <v>27</v>
      </c>
      <c r="P8" s="10" t="s">
        <v>28</v>
      </c>
      <c r="Q8" s="2"/>
      <c r="R8" s="2"/>
      <c r="S8" s="2"/>
      <c r="T8" s="8"/>
    </row>
    <row r="9" spans="1:20" ht="12.75">
      <c r="A9" s="1"/>
      <c r="B9" s="11"/>
      <c r="C9" s="12"/>
      <c r="D9" s="10"/>
      <c r="E9" s="13"/>
      <c r="F9" s="10"/>
      <c r="G9" s="14"/>
      <c r="H9" s="14"/>
      <c r="I9" s="14" t="s">
        <v>29</v>
      </c>
      <c r="J9" s="12"/>
      <c r="K9" s="10"/>
      <c r="L9" s="10" t="s">
        <v>30</v>
      </c>
      <c r="M9" s="11" t="s">
        <v>31</v>
      </c>
      <c r="N9" s="10" t="s">
        <v>31</v>
      </c>
      <c r="O9" s="14" t="s">
        <v>31</v>
      </c>
      <c r="P9" s="10" t="s">
        <v>32</v>
      </c>
      <c r="Q9" s="2"/>
      <c r="R9" s="2"/>
      <c r="S9" s="2"/>
      <c r="T9" s="8"/>
    </row>
    <row r="10" spans="1:20" ht="12.75">
      <c r="A10" s="1"/>
      <c r="B10" s="15"/>
      <c r="C10" s="7"/>
      <c r="D10" s="4"/>
      <c r="E10" s="5"/>
      <c r="F10" s="4"/>
      <c r="G10" s="6"/>
      <c r="H10" s="6"/>
      <c r="I10" s="6"/>
      <c r="J10" s="7"/>
      <c r="K10" s="4"/>
      <c r="L10" s="4"/>
      <c r="M10" s="15"/>
      <c r="N10" s="4"/>
      <c r="O10" s="15"/>
      <c r="P10" s="4"/>
      <c r="Q10" s="2"/>
      <c r="R10" s="2"/>
      <c r="S10" s="2"/>
      <c r="T10" s="8"/>
    </row>
    <row r="11" spans="1:20" ht="12.75">
      <c r="A11" s="1" t="s">
        <v>33</v>
      </c>
      <c r="B11" s="2" t="s">
        <v>34</v>
      </c>
      <c r="C11" s="7">
        <v>23</v>
      </c>
      <c r="D11" s="4">
        <v>9.5</v>
      </c>
      <c r="E11" s="5">
        <f>(C11/24)+(D11/12/24)</f>
        <v>0.9913194444444445</v>
      </c>
      <c r="F11" s="4">
        <v>54.5</v>
      </c>
      <c r="G11" s="6">
        <f>244.7529/F11</f>
        <v>4.490878899082569</v>
      </c>
      <c r="H11" s="6">
        <f>G11*E11</f>
        <v>4.4518955753058105</v>
      </c>
      <c r="I11" s="6">
        <f>H11*(1/L11)</f>
        <v>11.129738938264527</v>
      </c>
      <c r="J11" s="7">
        <v>8</v>
      </c>
      <c r="K11" s="4">
        <v>0</v>
      </c>
      <c r="L11" s="4">
        <f>((J11*12)+K11)/240</f>
        <v>0.4</v>
      </c>
      <c r="M11" s="6">
        <f>(F11*(L11)/E11)</f>
        <v>21.990893169877406</v>
      </c>
      <c r="N11" s="4">
        <f>(M11/0.2447529)</f>
        <v>89.84936713672201</v>
      </c>
      <c r="O11" s="16">
        <v>8.526786280311287</v>
      </c>
      <c r="P11" s="4">
        <f>N11/O11</f>
        <v>10.53730727884995</v>
      </c>
      <c r="Q11" s="2"/>
      <c r="R11" s="2"/>
      <c r="S11" s="6"/>
      <c r="T11" s="8"/>
    </row>
    <row r="12" spans="1:20" ht="12.75">
      <c r="A12" s="1"/>
      <c r="B12" s="2" t="s">
        <v>35</v>
      </c>
      <c r="C12" s="7">
        <v>16</v>
      </c>
      <c r="D12" s="4">
        <v>0</v>
      </c>
      <c r="E12" s="5">
        <f>(C12/24)+(D12/12/24)</f>
        <v>0.6666666666666666</v>
      </c>
      <c r="F12" s="4">
        <v>74</v>
      </c>
      <c r="G12" s="6">
        <f>244.7529/F12</f>
        <v>3.307471621621622</v>
      </c>
      <c r="H12" s="6">
        <f>G12*E12</f>
        <v>2.204981081081081</v>
      </c>
      <c r="I12" s="6">
        <f>H12*(1/L12)</f>
        <v>11.024905405405406</v>
      </c>
      <c r="J12" s="7">
        <v>4</v>
      </c>
      <c r="K12" s="4">
        <v>0</v>
      </c>
      <c r="L12" s="4">
        <f>((J12*12)+K12)/240</f>
        <v>0.2</v>
      </c>
      <c r="M12" s="6">
        <f>(F12*(L12)/E12)</f>
        <v>22.200000000000003</v>
      </c>
      <c r="N12" s="4">
        <f>(M12/0.2447529)</f>
        <v>90.70372608455304</v>
      </c>
      <c r="O12" s="16">
        <v>8.526786280311287</v>
      </c>
      <c r="P12" s="4">
        <f>N12/O12</f>
        <v>10.637504342520208</v>
      </c>
      <c r="Q12" s="2"/>
      <c r="R12" s="2"/>
      <c r="S12" s="6"/>
      <c r="T12" s="8"/>
    </row>
    <row r="13" spans="1:20" ht="12.75">
      <c r="A13" s="1"/>
      <c r="B13" s="2"/>
      <c r="C13" s="7"/>
      <c r="D13" s="4"/>
      <c r="E13" s="5"/>
      <c r="F13" s="4"/>
      <c r="G13" s="6"/>
      <c r="H13" s="6"/>
      <c r="I13" s="6"/>
      <c r="J13" s="7"/>
      <c r="K13" s="4"/>
      <c r="L13" s="4"/>
      <c r="M13" s="6"/>
      <c r="N13" s="4"/>
      <c r="O13" s="2"/>
      <c r="P13" s="4"/>
      <c r="Q13" s="2"/>
      <c r="R13" s="2"/>
      <c r="S13" s="6"/>
      <c r="T13" s="8"/>
    </row>
    <row r="14" spans="1:20" ht="12.75">
      <c r="A14" s="1" t="s">
        <v>36</v>
      </c>
      <c r="B14" s="2" t="s">
        <v>34</v>
      </c>
      <c r="C14" s="7">
        <v>23</v>
      </c>
      <c r="D14" s="4">
        <v>9.5</v>
      </c>
      <c r="E14" s="5">
        <f>(C14/24)+(D14/12/24)</f>
        <v>0.9913194444444445</v>
      </c>
      <c r="F14" s="4">
        <v>54.5</v>
      </c>
      <c r="G14" s="6">
        <f>244.7529/F14</f>
        <v>4.490878899082569</v>
      </c>
      <c r="H14" s="6">
        <f>G14*E14</f>
        <v>4.4518955753058105</v>
      </c>
      <c r="I14" s="6">
        <f>H14*(1/L14)</f>
        <v>10.684549380733944</v>
      </c>
      <c r="J14" s="7">
        <v>8</v>
      </c>
      <c r="K14" s="4">
        <v>4</v>
      </c>
      <c r="L14" s="4">
        <f>((J14*12)+K14)/240</f>
        <v>0.4166666666666667</v>
      </c>
      <c r="M14" s="6">
        <f>(F14*(L14)/E14)</f>
        <v>22.907180385288967</v>
      </c>
      <c r="N14" s="4">
        <f>(M14/0.2447529)</f>
        <v>93.59309076741876</v>
      </c>
      <c r="O14" s="16">
        <v>8.526786280311287</v>
      </c>
      <c r="P14" s="4">
        <f>N14/O14</f>
        <v>10.97636174880203</v>
      </c>
      <c r="Q14" s="2"/>
      <c r="R14" s="2"/>
      <c r="S14" s="6"/>
      <c r="T14" s="8"/>
    </row>
    <row r="15" spans="1:20" ht="12.75">
      <c r="A15" s="1"/>
      <c r="B15" s="2" t="s">
        <v>35</v>
      </c>
      <c r="C15" s="7">
        <v>16</v>
      </c>
      <c r="D15" s="4">
        <v>0</v>
      </c>
      <c r="E15" s="5">
        <f>(C15/24)+(D15/12/24)</f>
        <v>0.6666666666666666</v>
      </c>
      <c r="F15" s="4">
        <v>74</v>
      </c>
      <c r="G15" s="6">
        <f>244.7529/F15</f>
        <v>3.307471621621622</v>
      </c>
      <c r="H15" s="6">
        <f>G15*E15</f>
        <v>2.204981081081081</v>
      </c>
      <c r="I15" s="6">
        <f>H15*(1/L15)</f>
        <v>10.583909189189189</v>
      </c>
      <c r="J15" s="7">
        <v>4</v>
      </c>
      <c r="K15" s="4">
        <v>2</v>
      </c>
      <c r="L15" s="4">
        <f>((J15*12)+K15)/240</f>
        <v>0.20833333333333334</v>
      </c>
      <c r="M15" s="6">
        <f>(F15*(L15)/E15)</f>
        <v>23.125000000000004</v>
      </c>
      <c r="N15" s="4">
        <f>(M15/0.2447529)</f>
        <v>94.48304800474276</v>
      </c>
      <c r="O15" s="16">
        <v>8.526786280311287</v>
      </c>
      <c r="P15" s="4">
        <f>N15/O15</f>
        <v>11.080733690125218</v>
      </c>
      <c r="Q15" s="2"/>
      <c r="R15" s="2"/>
      <c r="S15" s="6"/>
      <c r="T15" s="8"/>
    </row>
    <row r="16" spans="1:20" ht="12.75">
      <c r="A16" s="1"/>
      <c r="B16" s="2" t="s">
        <v>35</v>
      </c>
      <c r="C16" s="7">
        <v>15</v>
      </c>
      <c r="D16" s="4">
        <v>11</v>
      </c>
      <c r="E16" s="5">
        <f>(C16/24)+(D16/12/24)</f>
        <v>0.6631944444444444</v>
      </c>
      <c r="F16" s="4">
        <v>74</v>
      </c>
      <c r="G16" s="6">
        <f>244.7529/F16</f>
        <v>3.307471621621622</v>
      </c>
      <c r="H16" s="6">
        <f>G16*E16</f>
        <v>2.193496804617117</v>
      </c>
      <c r="I16" s="6">
        <f>H16*(1/L16)</f>
        <v>10.528784662162161</v>
      </c>
      <c r="J16" s="7">
        <v>4</v>
      </c>
      <c r="K16" s="4">
        <v>2</v>
      </c>
      <c r="L16" s="4">
        <f>((J16*12)+K16)/240</f>
        <v>0.20833333333333334</v>
      </c>
      <c r="M16" s="6">
        <f>(F16*(L16)/E16)</f>
        <v>23.246073298429323</v>
      </c>
      <c r="N16" s="4">
        <f>(M16/0.2447529)</f>
        <v>94.97772364874665</v>
      </c>
      <c r="O16" s="16">
        <v>8.526786280311287</v>
      </c>
      <c r="P16" s="4">
        <f>N16/O16</f>
        <v>11.138748002638962</v>
      </c>
      <c r="Q16" s="2"/>
      <c r="R16" s="2"/>
      <c r="S16" s="6"/>
      <c r="T16" s="8"/>
    </row>
    <row r="17" spans="1:20" ht="12.75">
      <c r="A17" s="1"/>
      <c r="B17" s="2"/>
      <c r="C17" s="7"/>
      <c r="D17" s="4"/>
      <c r="E17" s="5"/>
      <c r="F17" s="4"/>
      <c r="G17" s="6"/>
      <c r="H17" s="6"/>
      <c r="I17" s="6"/>
      <c r="J17" s="7"/>
      <c r="K17" s="4"/>
      <c r="L17" s="4"/>
      <c r="M17" s="6"/>
      <c r="N17" s="4"/>
      <c r="O17" s="15"/>
      <c r="P17" s="4"/>
      <c r="Q17" s="2"/>
      <c r="R17" s="2"/>
      <c r="S17" s="6"/>
      <c r="T17" s="8"/>
    </row>
    <row r="18" spans="1:20" ht="12.75">
      <c r="A18" s="1" t="s">
        <v>37</v>
      </c>
      <c r="B18" s="2" t="s">
        <v>35</v>
      </c>
      <c r="C18" s="7">
        <v>15</v>
      </c>
      <c r="D18" s="4">
        <v>11</v>
      </c>
      <c r="E18" s="5">
        <f>(C18/24)+(D18/12/24)</f>
        <v>0.6631944444444444</v>
      </c>
      <c r="F18" s="4">
        <v>74</v>
      </c>
      <c r="G18" s="6">
        <f>244.7529/F18</f>
        <v>3.307471621621622</v>
      </c>
      <c r="H18" s="6">
        <f>G18*E18</f>
        <v>2.193496804617117</v>
      </c>
      <c r="I18" s="6">
        <f>H18*(1/L18)</f>
        <v>9.712900979854393</v>
      </c>
      <c r="J18" s="7">
        <v>4</v>
      </c>
      <c r="K18" s="4">
        <v>6.2</v>
      </c>
      <c r="L18" s="4">
        <f>((J18*12)+K18)/240</f>
        <v>0.22583333333333336</v>
      </c>
      <c r="M18" s="6">
        <f>(F18*(L18)/E18)</f>
        <v>25.198743455497386</v>
      </c>
      <c r="N18" s="4">
        <f>(M18/0.2447529)</f>
        <v>102.95585243524137</v>
      </c>
      <c r="O18" s="16">
        <v>8.81420603950316</v>
      </c>
      <c r="P18" s="4">
        <f>N18/O18</f>
        <v>11.68067231169976</v>
      </c>
      <c r="Q18" s="2"/>
      <c r="R18" s="2"/>
      <c r="S18" s="6"/>
      <c r="T18" s="8"/>
    </row>
    <row r="19" spans="1:20" ht="12.75">
      <c r="A19" s="1"/>
      <c r="B19" s="2"/>
      <c r="C19" s="7"/>
      <c r="D19" s="4"/>
      <c r="E19" s="5"/>
      <c r="F19" s="4"/>
      <c r="G19" s="6"/>
      <c r="H19" s="6"/>
      <c r="I19" s="6"/>
      <c r="J19" s="7"/>
      <c r="K19" s="4"/>
      <c r="L19" s="4"/>
      <c r="M19" s="6"/>
      <c r="N19" s="4"/>
      <c r="O19" s="2"/>
      <c r="P19" s="4"/>
      <c r="Q19" s="2"/>
      <c r="R19" s="2"/>
      <c r="S19" s="6"/>
      <c r="T19" s="8"/>
    </row>
    <row r="20" spans="1:20" ht="12.75">
      <c r="A20" s="1" t="s">
        <v>37</v>
      </c>
      <c r="B20" s="2" t="s">
        <v>38</v>
      </c>
      <c r="C20" s="7">
        <v>23</v>
      </c>
      <c r="D20" s="4">
        <v>9.5</v>
      </c>
      <c r="E20" s="5">
        <f>(C20/24)+(D20/12/24)</f>
        <v>0.9913194444444445</v>
      </c>
      <c r="F20" s="4">
        <v>46</v>
      </c>
      <c r="G20" s="6">
        <f>244.7529/F20</f>
        <v>5.320715217391305</v>
      </c>
      <c r="H20" s="6">
        <f>G20*E20</f>
        <v>5.27452845335145</v>
      </c>
      <c r="I20" s="6">
        <f>H20*(1/L20)</f>
        <v>9.967612825231086</v>
      </c>
      <c r="J20" s="7">
        <v>10</v>
      </c>
      <c r="K20" s="4">
        <v>7</v>
      </c>
      <c r="L20" s="4">
        <f>((J20*12)+K20)/240</f>
        <v>0.5291666666666667</v>
      </c>
      <c r="M20" s="6">
        <f>(F20*(L20)/E20)</f>
        <v>24.554816112084062</v>
      </c>
      <c r="N20" s="4">
        <f>(M20/0.2447529)</f>
        <v>100.3249240850019</v>
      </c>
      <c r="O20" s="16">
        <v>8.81420603950316</v>
      </c>
      <c r="P20" s="4">
        <f>N20/O20</f>
        <v>11.382185035767217</v>
      </c>
      <c r="Q20" s="2"/>
      <c r="R20" s="2"/>
      <c r="S20" s="6"/>
      <c r="T20" s="8"/>
    </row>
    <row r="21" spans="1:20" ht="12.75">
      <c r="A21" s="1" t="s">
        <v>39</v>
      </c>
      <c r="B21" s="2" t="s">
        <v>40</v>
      </c>
      <c r="C21" s="7">
        <v>18</v>
      </c>
      <c r="D21" s="4">
        <v>0</v>
      </c>
      <c r="E21" s="5">
        <f>(C21/24)+(D21/12/24)</f>
        <v>0.75</v>
      </c>
      <c r="F21" s="4">
        <v>70.125</v>
      </c>
      <c r="G21" s="6">
        <f>244.7529/F21</f>
        <v>3.4902374331550803</v>
      </c>
      <c r="H21" s="6">
        <f>G21*E21</f>
        <v>2.61767807486631</v>
      </c>
      <c r="I21" s="6">
        <f>H21*(1/L21)</f>
        <v>9.972106951871657</v>
      </c>
      <c r="J21" s="7">
        <v>5</v>
      </c>
      <c r="K21" s="4">
        <v>3</v>
      </c>
      <c r="L21" s="4">
        <f>((J21*12)+K21)/240</f>
        <v>0.2625</v>
      </c>
      <c r="M21" s="6">
        <f>(F21*(L21)/E21)</f>
        <v>24.543750000000003</v>
      </c>
      <c r="N21" s="4">
        <f>(M21/0.2447529)</f>
        <v>100.27971067962832</v>
      </c>
      <c r="O21" s="16">
        <v>8.81420603950316</v>
      </c>
      <c r="P21" s="4">
        <f>N21/O21</f>
        <v>11.377055429632422</v>
      </c>
      <c r="Q21" s="2"/>
      <c r="R21" s="2"/>
      <c r="S21" s="6"/>
      <c r="T21" s="8"/>
    </row>
    <row r="22" spans="1:20" ht="12.75">
      <c r="A22" s="1">
        <v>1556</v>
      </c>
      <c r="B22" s="2" t="s">
        <v>41</v>
      </c>
      <c r="C22" s="7">
        <v>14</v>
      </c>
      <c r="D22" s="4">
        <v>0</v>
      </c>
      <c r="E22" s="5">
        <f>(C22/24)+(D22/12/24)</f>
        <v>0.5833333333333334</v>
      </c>
      <c r="F22" s="4">
        <v>84</v>
      </c>
      <c r="G22" s="6">
        <f>244.7529/F22</f>
        <v>2.9137250000000003</v>
      </c>
      <c r="H22" s="6">
        <f>G22*E22</f>
        <v>1.6996729166666669</v>
      </c>
      <c r="I22" s="6">
        <f>H22*(1/L22)</f>
        <v>9.712416666666668</v>
      </c>
      <c r="J22" s="7">
        <v>3</v>
      </c>
      <c r="K22" s="4">
        <v>6</v>
      </c>
      <c r="L22" s="4">
        <f>((J22*12)+K22)/240</f>
        <v>0.175</v>
      </c>
      <c r="M22" s="6">
        <f>(F22*(L22)/E22)</f>
        <v>25.199999999999996</v>
      </c>
      <c r="N22" s="4">
        <f>(M22/0.2447529)</f>
        <v>102.96098636624937</v>
      </c>
      <c r="O22" s="16">
        <v>8.81420603950316</v>
      </c>
      <c r="P22" s="4">
        <f>N22/O22</f>
        <v>11.68125477267072</v>
      </c>
      <c r="Q22" s="2"/>
      <c r="R22" s="2"/>
      <c r="S22" s="6"/>
      <c r="T22" s="8"/>
    </row>
    <row r="23" spans="1:20" ht="12.75">
      <c r="A23" s="1"/>
      <c r="B23" s="2"/>
      <c r="C23" s="7"/>
      <c r="D23" s="4"/>
      <c r="E23" s="5"/>
      <c r="F23" s="4"/>
      <c r="G23" s="6"/>
      <c r="H23" s="6"/>
      <c r="I23" s="6"/>
      <c r="J23" s="7"/>
      <c r="K23" s="4"/>
      <c r="L23" s="4"/>
      <c r="M23" s="6"/>
      <c r="N23" s="4"/>
      <c r="O23" s="16"/>
      <c r="P23" s="4"/>
      <c r="Q23" s="2"/>
      <c r="R23" s="2"/>
      <c r="S23" s="6"/>
      <c r="T23" s="8"/>
    </row>
    <row r="24" spans="1:20" ht="12.75">
      <c r="A24" s="1"/>
      <c r="B24" s="2"/>
      <c r="C24" s="7"/>
      <c r="D24" s="4"/>
      <c r="E24" s="5"/>
      <c r="F24" s="4"/>
      <c r="G24" s="6"/>
      <c r="H24" s="6"/>
      <c r="I24" s="6"/>
      <c r="J24" s="7"/>
      <c r="K24" s="4"/>
      <c r="L24" s="4"/>
      <c r="M24" s="4"/>
      <c r="N24" s="4"/>
      <c r="O24" s="2"/>
      <c r="P24" s="4"/>
      <c r="Q24" s="2"/>
      <c r="R24" s="2"/>
      <c r="S24" s="2"/>
      <c r="T24" s="8"/>
    </row>
    <row r="25" spans="1:20" ht="12.75">
      <c r="A25" s="1" t="s">
        <v>42</v>
      </c>
      <c r="B25" s="17" t="s">
        <v>43</v>
      </c>
      <c r="C25" s="7"/>
      <c r="D25" s="10"/>
      <c r="E25" s="5"/>
      <c r="F25" s="4"/>
      <c r="G25" s="6"/>
      <c r="H25" s="6"/>
      <c r="I25" s="6"/>
      <c r="J25" s="7"/>
      <c r="K25" s="4"/>
      <c r="L25" s="4"/>
      <c r="M25" s="4"/>
      <c r="N25" s="4"/>
      <c r="O25" s="2"/>
      <c r="P25" s="4"/>
      <c r="Q25" s="2"/>
      <c r="R25" s="2"/>
      <c r="S25" s="2"/>
      <c r="T25" s="8"/>
    </row>
    <row r="26" spans="1:20" ht="12.75">
      <c r="A26" s="1"/>
      <c r="B26" s="2"/>
      <c r="C26" s="7"/>
      <c r="D26" s="4"/>
      <c r="E26" s="5"/>
      <c r="F26" s="4"/>
      <c r="G26" s="6"/>
      <c r="H26" s="6"/>
      <c r="I26" s="6"/>
      <c r="J26" s="7"/>
      <c r="K26" s="4"/>
      <c r="L26" s="4"/>
      <c r="M26" s="4"/>
      <c r="N26" s="4"/>
      <c r="O26" s="2"/>
      <c r="P26" s="4"/>
      <c r="Q26" s="2"/>
      <c r="R26" s="2"/>
      <c r="S26" s="2"/>
      <c r="T26" s="8"/>
    </row>
    <row r="27" spans="1:20" ht="12.75">
      <c r="A27" s="1" t="s">
        <v>44</v>
      </c>
      <c r="B27" s="11" t="s">
        <v>5</v>
      </c>
      <c r="C27" s="12" t="s">
        <v>6</v>
      </c>
      <c r="D27" s="10" t="s">
        <v>7</v>
      </c>
      <c r="E27" s="13" t="s">
        <v>8</v>
      </c>
      <c r="F27" s="10" t="s">
        <v>45</v>
      </c>
      <c r="G27" s="14" t="s">
        <v>10</v>
      </c>
      <c r="H27" s="14" t="s">
        <v>46</v>
      </c>
      <c r="I27" s="14" t="s">
        <v>12</v>
      </c>
      <c r="J27" s="12" t="s">
        <v>47</v>
      </c>
      <c r="K27" s="10"/>
      <c r="L27" s="10" t="s">
        <v>13</v>
      </c>
      <c r="M27" s="14" t="s">
        <v>14</v>
      </c>
      <c r="N27" s="10" t="s">
        <v>15</v>
      </c>
      <c r="O27" s="14" t="s">
        <v>15</v>
      </c>
      <c r="P27" s="10" t="s">
        <v>16</v>
      </c>
      <c r="Q27" s="14"/>
      <c r="R27" s="2"/>
      <c r="S27" s="2"/>
      <c r="T27" s="8"/>
    </row>
    <row r="28" spans="1:20" ht="12.75">
      <c r="A28" s="1"/>
      <c r="B28" s="11"/>
      <c r="C28" s="12"/>
      <c r="D28" s="10" t="s">
        <v>17</v>
      </c>
      <c r="E28" s="13" t="s">
        <v>18</v>
      </c>
      <c r="F28" s="10" t="s">
        <v>19</v>
      </c>
      <c r="G28" s="14" t="s">
        <v>20</v>
      </c>
      <c r="H28" s="14" t="s">
        <v>20</v>
      </c>
      <c r="I28" s="14" t="s">
        <v>48</v>
      </c>
      <c r="J28" s="12" t="s">
        <v>49</v>
      </c>
      <c r="K28" s="10" t="s">
        <v>50</v>
      </c>
      <c r="L28" s="10" t="s">
        <v>24</v>
      </c>
      <c r="M28" s="14" t="s">
        <v>25</v>
      </c>
      <c r="N28" s="10" t="s">
        <v>26</v>
      </c>
      <c r="O28" s="11" t="s">
        <v>27</v>
      </c>
      <c r="P28" s="10" t="s">
        <v>28</v>
      </c>
      <c r="Q28" s="14"/>
      <c r="R28" s="2"/>
      <c r="S28" s="2"/>
      <c r="T28" s="8"/>
    </row>
    <row r="29" spans="1:20" ht="12.75">
      <c r="A29" s="1"/>
      <c r="B29" s="11"/>
      <c r="C29" s="12"/>
      <c r="D29" s="10"/>
      <c r="E29" s="13"/>
      <c r="F29" s="10"/>
      <c r="G29" s="14"/>
      <c r="H29" s="14"/>
      <c r="I29" s="14" t="s">
        <v>51</v>
      </c>
      <c r="J29" s="12" t="s">
        <v>22</v>
      </c>
      <c r="K29" s="10" t="s">
        <v>52</v>
      </c>
      <c r="L29" s="10" t="s">
        <v>30</v>
      </c>
      <c r="M29" s="11" t="s">
        <v>53</v>
      </c>
      <c r="N29" s="11" t="s">
        <v>53</v>
      </c>
      <c r="O29" s="11" t="s">
        <v>53</v>
      </c>
      <c r="P29" s="10" t="s">
        <v>32</v>
      </c>
      <c r="Q29" s="14"/>
      <c r="R29" s="2"/>
      <c r="S29" s="2"/>
      <c r="T29" s="8"/>
    </row>
    <row r="30" spans="1:20" ht="12.75">
      <c r="A30" s="1"/>
      <c r="B30" s="15"/>
      <c r="C30" s="7"/>
      <c r="D30" s="4"/>
      <c r="E30" s="5"/>
      <c r="F30" s="4"/>
      <c r="G30" s="6"/>
      <c r="H30" s="6"/>
      <c r="I30" s="6"/>
      <c r="J30" s="12" t="s">
        <v>51</v>
      </c>
      <c r="K30" s="10" t="s">
        <v>51</v>
      </c>
      <c r="L30" s="10" t="s">
        <v>51</v>
      </c>
      <c r="M30" s="10" t="s">
        <v>51</v>
      </c>
      <c r="N30" s="10" t="s">
        <v>51</v>
      </c>
      <c r="O30" s="10" t="s">
        <v>51</v>
      </c>
      <c r="P30" s="4"/>
      <c r="Q30" s="2"/>
      <c r="R30" s="2"/>
      <c r="S30" s="2"/>
      <c r="T30" s="8"/>
    </row>
    <row r="31" spans="1:20" ht="12.75">
      <c r="A31" s="1"/>
      <c r="B31" s="15"/>
      <c r="C31" s="7"/>
      <c r="D31" s="4"/>
      <c r="E31" s="5"/>
      <c r="F31" s="4"/>
      <c r="G31" s="6"/>
      <c r="H31" s="6"/>
      <c r="I31" s="6"/>
      <c r="J31" s="7"/>
      <c r="K31" s="4"/>
      <c r="L31" s="4"/>
      <c r="M31" s="4"/>
      <c r="N31" s="4"/>
      <c r="O31" s="6"/>
      <c r="P31" s="4"/>
      <c r="Q31" s="2"/>
      <c r="R31" s="2"/>
      <c r="S31" s="2"/>
      <c r="T31" s="8"/>
    </row>
    <row r="32" spans="1:20" ht="12.75">
      <c r="A32" s="1">
        <v>1494</v>
      </c>
      <c r="B32" s="2" t="s">
        <v>54</v>
      </c>
      <c r="C32" s="7">
        <v>23</v>
      </c>
      <c r="D32" s="4">
        <f>12*0.125</f>
        <v>1.5</v>
      </c>
      <c r="E32" s="5">
        <f>(C32+D32/12)/24</f>
        <v>0.9635416666666666</v>
      </c>
      <c r="F32" s="18">
        <v>70</v>
      </c>
      <c r="G32" s="4">
        <f>244.7529/F32</f>
        <v>3.49647</v>
      </c>
      <c r="H32" s="4">
        <f>G32*E32</f>
        <v>3.36899453125</v>
      </c>
      <c r="I32" s="6">
        <f>H32*(1/L32)</f>
        <v>1.8587556034482757</v>
      </c>
      <c r="J32" s="2">
        <v>36</v>
      </c>
      <c r="K32" s="19">
        <v>3</v>
      </c>
      <c r="L32" s="4">
        <f>(J32+(K32/12))/20</f>
        <v>1.8125</v>
      </c>
      <c r="M32" s="6">
        <f>(L32*F32)/E32</f>
        <v>131.67567567567568</v>
      </c>
      <c r="N32" s="6">
        <f>1/0.2447529*M32</f>
        <v>537.9943431749969</v>
      </c>
      <c r="O32" s="16">
        <v>46.0446647103724</v>
      </c>
      <c r="P32" s="4">
        <f>N32/O32</f>
        <v>11.684184184184184</v>
      </c>
      <c r="Q32" s="2"/>
      <c r="R32" s="2"/>
      <c r="S32" s="2"/>
      <c r="T32" s="8"/>
    </row>
    <row r="33" spans="1:20" ht="12.75">
      <c r="A33" s="1"/>
      <c r="B33" s="2"/>
      <c r="C33" s="7"/>
      <c r="D33" s="4"/>
      <c r="E33" s="5"/>
      <c r="F33" s="18"/>
      <c r="G33" s="4"/>
      <c r="H33" s="4"/>
      <c r="I33" s="15"/>
      <c r="J33" s="7"/>
      <c r="K33" s="4"/>
      <c r="L33" s="4"/>
      <c r="M33" s="6"/>
      <c r="N33" s="6"/>
      <c r="O33" s="16"/>
      <c r="P33" s="4"/>
      <c r="Q33" s="2"/>
      <c r="R33" s="2"/>
      <c r="S33" s="2"/>
      <c r="T33" s="8"/>
    </row>
    <row r="34" spans="1:20" ht="12.75">
      <c r="A34" s="1">
        <v>1507</v>
      </c>
      <c r="B34" s="2" t="s">
        <v>55</v>
      </c>
      <c r="C34" s="7">
        <v>23</v>
      </c>
      <c r="D34" s="4">
        <f>12*0.125</f>
        <v>1.5</v>
      </c>
      <c r="E34" s="5">
        <f>(C34+D34/12)/24</f>
        <v>0.9635416666666666</v>
      </c>
      <c r="F34" s="18">
        <v>70</v>
      </c>
      <c r="G34" s="4">
        <f>244.7529/F34</f>
        <v>3.49647</v>
      </c>
      <c r="H34" s="4">
        <f>G34*E34</f>
        <v>3.36899453125</v>
      </c>
      <c r="I34" s="6">
        <f>H34*(1/L34)</f>
        <v>1.8587556034482757</v>
      </c>
      <c r="J34" s="2">
        <v>36</v>
      </c>
      <c r="K34" s="19">
        <v>3</v>
      </c>
      <c r="L34" s="4">
        <f>(J34+(K34/12))/20</f>
        <v>1.8125</v>
      </c>
      <c r="M34" s="6">
        <f>(L34*F34)/E34</f>
        <v>131.67567567567568</v>
      </c>
      <c r="N34" s="6">
        <f>1/0.2447529*M34</f>
        <v>537.9943431749969</v>
      </c>
      <c r="O34" s="16">
        <v>48.88692796409909</v>
      </c>
      <c r="P34" s="4">
        <f>N34/O34</f>
        <v>11.004871150219989</v>
      </c>
      <c r="Q34" s="2"/>
      <c r="R34" s="2"/>
      <c r="S34" s="2"/>
      <c r="T34" s="8"/>
    </row>
    <row r="35" spans="1:20" ht="12.75">
      <c r="A35" s="1"/>
      <c r="B35" s="2"/>
      <c r="C35" s="7"/>
      <c r="D35" s="4"/>
      <c r="E35" s="5"/>
      <c r="F35" s="18"/>
      <c r="G35" s="4"/>
      <c r="H35" s="4"/>
      <c r="I35" s="15"/>
      <c r="J35" s="7"/>
      <c r="K35" s="4"/>
      <c r="L35" s="4"/>
      <c r="M35" s="6"/>
      <c r="N35" s="6"/>
      <c r="O35" s="16"/>
      <c r="P35" s="4"/>
      <c r="Q35" s="2"/>
      <c r="R35" s="2"/>
      <c r="S35" s="2"/>
      <c r="T35" s="8"/>
    </row>
    <row r="36" spans="1:20" ht="12.75">
      <c r="A36" s="1">
        <v>1515</v>
      </c>
      <c r="B36" s="2" t="s">
        <v>54</v>
      </c>
      <c r="C36" s="7">
        <v>23</v>
      </c>
      <c r="D36" s="4">
        <f>12*0.125</f>
        <v>1.5</v>
      </c>
      <c r="E36" s="5">
        <f>(C36+D36/12)/24</f>
        <v>0.9635416666666666</v>
      </c>
      <c r="F36" s="18">
        <v>70</v>
      </c>
      <c r="G36" s="4">
        <f>244.7529/F36</f>
        <v>3.49647</v>
      </c>
      <c r="H36" s="4">
        <f>G36*E36</f>
        <v>3.36899453125</v>
      </c>
      <c r="I36" s="6">
        <f>H36*(1/L36)</f>
        <v>1.8587556034482757</v>
      </c>
      <c r="J36" s="2">
        <v>36</v>
      </c>
      <c r="K36" s="19">
        <v>3</v>
      </c>
      <c r="L36" s="4">
        <f>(J36+(K36/12))/20</f>
        <v>1.8125</v>
      </c>
      <c r="M36" s="6">
        <f>(L36*F36)/E36</f>
        <v>131.67567567567568</v>
      </c>
      <c r="N36" s="6">
        <f>1/0.2447529*M36</f>
        <v>537.9943431749969</v>
      </c>
      <c r="O36" s="16">
        <v>48.88692796409909</v>
      </c>
      <c r="P36" s="4">
        <f>N36/O36</f>
        <v>11.004871150219989</v>
      </c>
      <c r="Q36" s="2"/>
      <c r="R36" s="2"/>
      <c r="S36" s="2"/>
      <c r="T36" s="8"/>
    </row>
    <row r="37" spans="1:20" ht="12.75">
      <c r="A37" s="1"/>
      <c r="B37" s="2"/>
      <c r="C37" s="7"/>
      <c r="D37" s="4"/>
      <c r="E37" s="5"/>
      <c r="F37" s="18"/>
      <c r="G37" s="4"/>
      <c r="H37" s="4"/>
      <c r="I37" s="15"/>
      <c r="J37" s="7"/>
      <c r="K37" s="4"/>
      <c r="L37" s="4"/>
      <c r="M37" s="6"/>
      <c r="N37" s="6"/>
      <c r="O37" s="16"/>
      <c r="P37" s="4"/>
      <c r="Q37" s="2"/>
      <c r="R37" s="2"/>
      <c r="S37" s="2"/>
      <c r="T37" s="8"/>
    </row>
    <row r="38" spans="1:20" ht="12.75">
      <c r="A38" s="1">
        <v>1519</v>
      </c>
      <c r="B38" s="2" t="s">
        <v>54</v>
      </c>
      <c r="C38" s="7">
        <v>22</v>
      </c>
      <c r="D38" s="4">
        <f>12*0.75</f>
        <v>9</v>
      </c>
      <c r="E38" s="5">
        <f>(C38+D38/12)/24</f>
        <v>0.9479166666666666</v>
      </c>
      <c r="F38" s="18">
        <v>71.5</v>
      </c>
      <c r="G38" s="4">
        <f>244.7529/F38</f>
        <v>3.423117482517483</v>
      </c>
      <c r="H38" s="4">
        <f>G38*E38</f>
        <v>3.2448301136363638</v>
      </c>
      <c r="I38" s="6">
        <f>H38*(1/L38)</f>
        <v>1.7902510971786834</v>
      </c>
      <c r="J38" s="2">
        <v>36</v>
      </c>
      <c r="K38" s="19">
        <v>3</v>
      </c>
      <c r="L38" s="4">
        <f>(J38+(K38/12))/20</f>
        <v>1.8125</v>
      </c>
      <c r="M38" s="6">
        <f>(L38*F38)/E38</f>
        <v>136.71428571428572</v>
      </c>
      <c r="N38" s="6">
        <f>1/0.2447529*M38</f>
        <v>558.580861408734</v>
      </c>
      <c r="O38" s="16">
        <v>55.373975860840005</v>
      </c>
      <c r="P38" s="4">
        <f>N38/O38</f>
        <v>10.087425595238097</v>
      </c>
      <c r="Q38" s="2"/>
      <c r="R38" s="2"/>
      <c r="S38" s="2"/>
      <c r="T38" s="8"/>
    </row>
    <row r="39" spans="1:20" ht="12.75">
      <c r="A39" s="1"/>
      <c r="B39" s="2"/>
      <c r="C39" s="7"/>
      <c r="D39" s="4"/>
      <c r="E39" s="5"/>
      <c r="F39" s="18"/>
      <c r="G39" s="4"/>
      <c r="H39" s="4"/>
      <c r="I39" s="15"/>
      <c r="J39" s="7"/>
      <c r="K39" s="4"/>
      <c r="L39" s="4"/>
      <c r="M39" s="6"/>
      <c r="N39" s="6"/>
      <c r="O39" s="16"/>
      <c r="P39" s="4"/>
      <c r="Q39" s="2"/>
      <c r="R39" s="2"/>
      <c r="S39" s="2"/>
      <c r="T39" s="8"/>
    </row>
    <row r="40" spans="1:20" ht="12.75">
      <c r="A40" s="1">
        <v>1519</v>
      </c>
      <c r="B40" s="2" t="s">
        <v>54</v>
      </c>
      <c r="C40" s="7">
        <v>23</v>
      </c>
      <c r="D40" s="4">
        <v>0</v>
      </c>
      <c r="E40" s="5">
        <f>(C40+D40/12)/24</f>
        <v>0.9583333333333334</v>
      </c>
      <c r="F40" s="18">
        <f>71+(1/6)</f>
        <v>71.16666666666667</v>
      </c>
      <c r="G40" s="4">
        <f>244.7529/F40</f>
        <v>3.439150819672131</v>
      </c>
      <c r="H40" s="4">
        <f>G40*E40</f>
        <v>3.2958528688524593</v>
      </c>
      <c r="I40" s="6">
        <f>H40*(1/L40)</f>
        <v>1.6479264344262297</v>
      </c>
      <c r="J40" s="2">
        <v>40</v>
      </c>
      <c r="K40" s="19">
        <v>0</v>
      </c>
      <c r="L40" s="4">
        <f>(J40+(K40/12))/20</f>
        <v>2</v>
      </c>
      <c r="M40" s="6">
        <f>(L40*F40)/E40</f>
        <v>148.52173913043478</v>
      </c>
      <c r="N40" s="6">
        <f>1/0.2447529*M40</f>
        <v>606.8232046706486</v>
      </c>
      <c r="O40" s="16">
        <v>55.373975860840005</v>
      </c>
      <c r="P40" s="4">
        <f>N40/O40</f>
        <v>10.958635265700483</v>
      </c>
      <c r="Q40" s="2"/>
      <c r="R40" s="2"/>
      <c r="S40" s="2"/>
      <c r="T40" s="8"/>
    </row>
    <row r="41" spans="1:20" ht="12.75">
      <c r="A41" s="1"/>
      <c r="B41" s="2"/>
      <c r="C41" s="7"/>
      <c r="D41" s="4"/>
      <c r="E41" s="5"/>
      <c r="F41" s="18"/>
      <c r="G41" s="4"/>
      <c r="H41" s="4"/>
      <c r="I41" s="15"/>
      <c r="J41" s="7"/>
      <c r="K41" s="4"/>
      <c r="L41" s="4"/>
      <c r="M41" s="6"/>
      <c r="N41" s="6"/>
      <c r="O41" s="16"/>
      <c r="P41" s="4"/>
      <c r="Q41" s="2"/>
      <c r="R41" s="2"/>
      <c r="S41" s="2"/>
      <c r="T41" s="8"/>
    </row>
    <row r="42" spans="1:20" ht="12.75">
      <c r="A42" s="1">
        <v>1541</v>
      </c>
      <c r="B42" s="2" t="s">
        <v>56</v>
      </c>
      <c r="C42" s="7">
        <v>23</v>
      </c>
      <c r="D42" s="4">
        <v>0</v>
      </c>
      <c r="E42" s="5">
        <f>(C42+D42/12)/24</f>
        <v>0.9583333333333334</v>
      </c>
      <c r="F42" s="18">
        <f>71+(1/6)</f>
        <v>71.16666666666667</v>
      </c>
      <c r="G42" s="4">
        <f>244.7529/F42</f>
        <v>3.439150819672131</v>
      </c>
      <c r="H42" s="4">
        <f>G42*E42</f>
        <v>3.2958528688524593</v>
      </c>
      <c r="I42" s="6">
        <f>H42*(1/L42)</f>
        <v>1.4648234972677596</v>
      </c>
      <c r="J42" s="2">
        <v>45</v>
      </c>
      <c r="K42" s="19">
        <v>0</v>
      </c>
      <c r="L42" s="4">
        <f>(J42+(K42/12))/20</f>
        <v>2.25</v>
      </c>
      <c r="M42" s="6">
        <f>(L42*F42)/E42</f>
        <v>167.08695652173913</v>
      </c>
      <c r="N42" s="6">
        <f>1/0.2447529*M42</f>
        <v>682.6761052544796</v>
      </c>
      <c r="O42" s="16">
        <v>57.9821703760245</v>
      </c>
      <c r="P42" s="4">
        <f>N42/O42</f>
        <v>11.773897058823529</v>
      </c>
      <c r="Q42" s="2"/>
      <c r="R42" s="2"/>
      <c r="S42" s="2"/>
      <c r="T42" s="8"/>
    </row>
    <row r="43" spans="1:20" ht="12.75">
      <c r="A43" s="1"/>
      <c r="B43" s="2"/>
      <c r="C43" s="7"/>
      <c r="D43" s="4"/>
      <c r="E43" s="5"/>
      <c r="F43" s="18"/>
      <c r="G43" s="4"/>
      <c r="H43" s="4"/>
      <c r="I43" s="15"/>
      <c r="J43" s="7"/>
      <c r="K43" s="4"/>
      <c r="L43" s="4"/>
      <c r="M43" s="6"/>
      <c r="N43" s="6"/>
      <c r="O43" s="16"/>
      <c r="P43" s="4"/>
      <c r="Q43" s="2"/>
      <c r="R43" s="2"/>
      <c r="S43" s="2"/>
      <c r="T43" s="8"/>
    </row>
    <row r="44" spans="1:20" ht="12.75">
      <c r="A44" s="1">
        <v>1550</v>
      </c>
      <c r="B44" s="2" t="s">
        <v>57</v>
      </c>
      <c r="C44" s="7">
        <v>23</v>
      </c>
      <c r="D44" s="4">
        <v>0</v>
      </c>
      <c r="E44" s="5">
        <f>(C44+D44/12)/24</f>
        <v>0.9583333333333334</v>
      </c>
      <c r="F44" s="18">
        <v>67</v>
      </c>
      <c r="G44" s="4">
        <f>244.7529/F44</f>
        <v>3.6530283582089553</v>
      </c>
      <c r="H44" s="4">
        <f>G44*E44</f>
        <v>3.5008188432835823</v>
      </c>
      <c r="I44" s="6">
        <f>H44*(1/L44)</f>
        <v>1.400327537313433</v>
      </c>
      <c r="J44" s="2">
        <v>50</v>
      </c>
      <c r="K44" s="19">
        <v>0</v>
      </c>
      <c r="L44" s="4">
        <f>(J44+(K44/12))/20</f>
        <v>2.5</v>
      </c>
      <c r="M44" s="6">
        <f>(L44*F44)/E44</f>
        <v>174.78260869565216</v>
      </c>
      <c r="N44" s="6">
        <f>1/0.2447529*M44</f>
        <v>714.118642498831</v>
      </c>
      <c r="O44" s="16">
        <v>63.48582558551345</v>
      </c>
      <c r="P44" s="4">
        <f>N44/O44</f>
        <v>11.248473748473748</v>
      </c>
      <c r="Q44" s="2"/>
      <c r="R44" s="2"/>
      <c r="S44" s="2"/>
      <c r="T44" s="8"/>
    </row>
    <row r="45" spans="1:20" ht="12.75">
      <c r="A45" s="1"/>
      <c r="B45" s="2"/>
      <c r="C45" s="7"/>
      <c r="D45" s="4"/>
      <c r="E45" s="5"/>
      <c r="F45" s="4"/>
      <c r="G45" s="6"/>
      <c r="H45" s="6"/>
      <c r="I45" s="6"/>
      <c r="J45" s="7"/>
      <c r="K45" s="4"/>
      <c r="L45" s="4"/>
      <c r="M45" s="4"/>
      <c r="N45" s="4"/>
      <c r="O45" s="2"/>
      <c r="P45" s="4"/>
      <c r="Q45" s="2"/>
      <c r="R45" s="2"/>
      <c r="S45" s="2"/>
      <c r="T45" s="8"/>
    </row>
    <row r="46" spans="1:20" ht="12.75">
      <c r="A46" s="1"/>
      <c r="B46" s="2"/>
      <c r="C46" s="7"/>
      <c r="D46" s="4"/>
      <c r="E46" s="5"/>
      <c r="F46" s="18"/>
      <c r="G46" s="4"/>
      <c r="H46" s="6"/>
      <c r="I46" s="15"/>
      <c r="J46" s="7"/>
      <c r="K46" s="19"/>
      <c r="L46" s="4"/>
      <c r="M46" s="6"/>
      <c r="N46" s="6"/>
      <c r="O46" s="2"/>
      <c r="P46" s="4"/>
      <c r="Q46" s="2"/>
      <c r="R46" s="2"/>
      <c r="S46" s="2"/>
      <c r="T46" s="8"/>
    </row>
    <row r="47" spans="1:20" ht="12.75">
      <c r="A47" s="1" t="s">
        <v>58</v>
      </c>
      <c r="B47" s="17" t="s">
        <v>59</v>
      </c>
      <c r="C47" s="12"/>
      <c r="D47" s="4"/>
      <c r="E47" s="5"/>
      <c r="F47" s="18"/>
      <c r="G47" s="4"/>
      <c r="H47" s="6"/>
      <c r="I47" s="15"/>
      <c r="J47" s="7"/>
      <c r="K47" s="19"/>
      <c r="L47" s="4"/>
      <c r="M47" s="6"/>
      <c r="N47" s="6"/>
      <c r="O47" s="2"/>
      <c r="P47" s="4"/>
      <c r="Q47" s="2"/>
      <c r="R47" s="2"/>
      <c r="S47" s="2"/>
      <c r="T47" s="8"/>
    </row>
    <row r="48" spans="1:20" ht="12.75">
      <c r="A48" s="1"/>
      <c r="B48" s="2"/>
      <c r="C48" s="7"/>
      <c r="D48" s="4"/>
      <c r="E48" s="5"/>
      <c r="F48" s="18"/>
      <c r="G48" s="4"/>
      <c r="H48" s="6"/>
      <c r="I48" s="15"/>
      <c r="J48" s="7"/>
      <c r="K48" s="19"/>
      <c r="L48" s="4"/>
      <c r="M48" s="6"/>
      <c r="N48" s="6"/>
      <c r="O48" s="2"/>
      <c r="P48" s="4"/>
      <c r="Q48" s="2"/>
      <c r="R48" s="2"/>
      <c r="S48" s="2"/>
      <c r="T48" s="8"/>
    </row>
    <row r="49" spans="1:20" ht="12.75">
      <c r="A49" s="11" t="s">
        <v>4</v>
      </c>
      <c r="B49" s="11" t="s">
        <v>5</v>
      </c>
      <c r="C49" s="12" t="s">
        <v>60</v>
      </c>
      <c r="D49" s="10" t="s">
        <v>61</v>
      </c>
      <c r="E49" s="13" t="s">
        <v>62</v>
      </c>
      <c r="F49" s="10" t="s">
        <v>63</v>
      </c>
      <c r="G49" s="10" t="s">
        <v>63</v>
      </c>
      <c r="H49" s="10" t="s">
        <v>64</v>
      </c>
      <c r="I49" s="10" t="s">
        <v>65</v>
      </c>
      <c r="J49" s="17" t="s">
        <v>65</v>
      </c>
      <c r="K49" s="10" t="s">
        <v>47</v>
      </c>
      <c r="L49" s="10"/>
      <c r="M49" s="10" t="s">
        <v>66</v>
      </c>
      <c r="N49" s="10" t="s">
        <v>67</v>
      </c>
      <c r="O49" s="10" t="s">
        <v>67</v>
      </c>
      <c r="P49" s="10" t="s">
        <v>15</v>
      </c>
      <c r="Q49" s="14" t="s">
        <v>15</v>
      </c>
      <c r="R49" s="10" t="s">
        <v>68</v>
      </c>
      <c r="S49" s="2"/>
      <c r="T49" s="8"/>
    </row>
    <row r="50" spans="1:20" ht="12.75">
      <c r="A50" s="11"/>
      <c r="B50" s="2"/>
      <c r="C50" s="12" t="s">
        <v>69</v>
      </c>
      <c r="D50" s="10" t="s">
        <v>70</v>
      </c>
      <c r="E50" s="13" t="s">
        <v>71</v>
      </c>
      <c r="F50" s="10" t="s">
        <v>72</v>
      </c>
      <c r="G50" s="10" t="s">
        <v>73</v>
      </c>
      <c r="H50" s="10" t="s">
        <v>74</v>
      </c>
      <c r="I50" s="10" t="s">
        <v>11</v>
      </c>
      <c r="J50" s="17" t="s">
        <v>11</v>
      </c>
      <c r="K50" s="10" t="s">
        <v>49</v>
      </c>
      <c r="L50" s="10" t="s">
        <v>50</v>
      </c>
      <c r="M50" s="10" t="s">
        <v>24</v>
      </c>
      <c r="N50" s="10" t="s">
        <v>75</v>
      </c>
      <c r="O50" s="10" t="s">
        <v>75</v>
      </c>
      <c r="P50" s="10" t="s">
        <v>26</v>
      </c>
      <c r="Q50" s="11" t="s">
        <v>27</v>
      </c>
      <c r="R50" s="10" t="s">
        <v>28</v>
      </c>
      <c r="S50" s="2"/>
      <c r="T50" s="8"/>
    </row>
    <row r="51" spans="1:20" ht="12.75">
      <c r="A51" s="11"/>
      <c r="B51" s="2"/>
      <c r="C51" s="7"/>
      <c r="D51" s="10" t="s">
        <v>76</v>
      </c>
      <c r="E51" s="13" t="s">
        <v>77</v>
      </c>
      <c r="F51" s="10" t="s">
        <v>78</v>
      </c>
      <c r="G51" s="10" t="s">
        <v>79</v>
      </c>
      <c r="H51" s="10" t="s">
        <v>80</v>
      </c>
      <c r="I51" s="10" t="s">
        <v>81</v>
      </c>
      <c r="J51" s="17" t="s">
        <v>82</v>
      </c>
      <c r="K51" s="10" t="s">
        <v>22</v>
      </c>
      <c r="L51" s="10" t="s">
        <v>83</v>
      </c>
      <c r="M51" s="10" t="s">
        <v>84</v>
      </c>
      <c r="N51" s="10" t="s">
        <v>85</v>
      </c>
      <c r="O51" s="10" t="s">
        <v>86</v>
      </c>
      <c r="P51" s="11" t="s">
        <v>82</v>
      </c>
      <c r="Q51" s="11" t="s">
        <v>82</v>
      </c>
      <c r="R51" s="10" t="s">
        <v>32</v>
      </c>
      <c r="S51" s="2"/>
      <c r="T51" s="8"/>
    </row>
    <row r="52" spans="1:20" ht="12.75">
      <c r="A52" s="11"/>
      <c r="B52" s="2"/>
      <c r="C52" s="7"/>
      <c r="D52" s="4"/>
      <c r="E52" s="5"/>
      <c r="F52" s="10"/>
      <c r="G52" s="10"/>
      <c r="H52" s="6"/>
      <c r="I52" s="10"/>
      <c r="J52" s="7"/>
      <c r="K52" s="10"/>
      <c r="L52" s="10"/>
      <c r="M52" s="10"/>
      <c r="N52" s="10" t="s">
        <v>82</v>
      </c>
      <c r="O52" s="10" t="s">
        <v>82</v>
      </c>
      <c r="P52" s="10" t="s">
        <v>11</v>
      </c>
      <c r="Q52" s="2"/>
      <c r="R52" s="4"/>
      <c r="S52" s="2"/>
      <c r="T52" s="8"/>
    </row>
    <row r="53" spans="1:20" ht="12.75">
      <c r="A53" s="11"/>
      <c r="B53" s="2"/>
      <c r="C53" s="7"/>
      <c r="D53" s="4"/>
      <c r="E53" s="5"/>
      <c r="F53" s="4"/>
      <c r="G53" s="4"/>
      <c r="H53" s="6"/>
      <c r="I53" s="4"/>
      <c r="J53" s="7"/>
      <c r="K53" s="4"/>
      <c r="L53" s="4"/>
      <c r="M53" s="4"/>
      <c r="N53" s="4"/>
      <c r="O53" s="2"/>
      <c r="P53" s="4"/>
      <c r="Q53" s="4"/>
      <c r="R53" s="2"/>
      <c r="S53" s="2"/>
      <c r="T53" s="8"/>
    </row>
    <row r="54" spans="1:20" ht="12.75">
      <c r="A54" s="11" t="s">
        <v>87</v>
      </c>
      <c r="B54" s="2" t="s">
        <v>88</v>
      </c>
      <c r="C54" s="7">
        <v>23</v>
      </c>
      <c r="D54" s="4">
        <v>3.5</v>
      </c>
      <c r="E54" s="5">
        <f>(C54+D54/4)/24</f>
        <v>0.9947916666666666</v>
      </c>
      <c r="F54" s="4">
        <v>67.5</v>
      </c>
      <c r="G54" s="4">
        <f>F54*(373.242/349.9144)</f>
        <v>71.99999485588475</v>
      </c>
      <c r="H54" s="4">
        <f>349.9144/F54</f>
        <v>5.183917037037037</v>
      </c>
      <c r="I54" s="4">
        <f>H54*(23.875/24)</f>
        <v>5.156917469135802</v>
      </c>
      <c r="J54" s="19">
        <f>I54*(1/M54)</f>
        <v>15.470752407407407</v>
      </c>
      <c r="K54" s="4">
        <v>6</v>
      </c>
      <c r="L54" s="4">
        <v>8</v>
      </c>
      <c r="M54" s="4">
        <f>(K54*12+L54)/240</f>
        <v>0.3333333333333333</v>
      </c>
      <c r="N54" s="4">
        <f>(F54*M54)</f>
        <v>22.5</v>
      </c>
      <c r="O54" s="19">
        <f>G54*M54</f>
        <v>23.999998285294915</v>
      </c>
      <c r="P54" s="4">
        <f>(1000/349.9144/0.9947917)*N54</f>
        <v>64.63809517198058</v>
      </c>
      <c r="Q54" s="4">
        <v>5.792922574855527</v>
      </c>
      <c r="R54" s="4">
        <f>P54/Q54</f>
        <v>11.1581148093616</v>
      </c>
      <c r="S54" s="2"/>
      <c r="T54" s="8"/>
    </row>
    <row r="55" spans="1:20" ht="12.75">
      <c r="A55" s="11"/>
      <c r="B55" s="2" t="s">
        <v>89</v>
      </c>
      <c r="C55" s="7">
        <v>23</v>
      </c>
      <c r="D55" s="4">
        <v>3.5</v>
      </c>
      <c r="E55" s="5">
        <f>(C55+D55/4)/24</f>
        <v>0.9947916666666666</v>
      </c>
      <c r="F55" s="4">
        <v>45</v>
      </c>
      <c r="G55" s="4">
        <f>F55*(373.242/349.9144)</f>
        <v>47.999996570589836</v>
      </c>
      <c r="H55" s="4">
        <f>349.9144/F55</f>
        <v>7.775875555555555</v>
      </c>
      <c r="I55" s="4">
        <f>H55*(23.875/24)</f>
        <v>7.735376203703703</v>
      </c>
      <c r="J55" s="19">
        <f>I55*(1/M55)</f>
        <v>15.470752407407407</v>
      </c>
      <c r="K55" s="4">
        <v>10</v>
      </c>
      <c r="L55" s="4">
        <v>0</v>
      </c>
      <c r="M55" s="4">
        <f>(K55*12+L55)/240</f>
        <v>0.5</v>
      </c>
      <c r="N55" s="4">
        <f>(F55*M55)</f>
        <v>22.5</v>
      </c>
      <c r="O55" s="19">
        <f>G55*M55</f>
        <v>23.999998285294918</v>
      </c>
      <c r="P55" s="4">
        <f>(1000/349.9144/0.9947917)*N55</f>
        <v>64.63809517198058</v>
      </c>
      <c r="Q55" s="4">
        <v>5.792922574855527</v>
      </c>
      <c r="R55" s="4">
        <f>P55/Q55</f>
        <v>11.1581148093616</v>
      </c>
      <c r="S55" s="2"/>
      <c r="T55" s="8"/>
    </row>
    <row r="56" spans="1:20" ht="12.75">
      <c r="A56" s="11"/>
      <c r="B56" s="2"/>
      <c r="C56" s="7"/>
      <c r="D56" s="4"/>
      <c r="E56" s="5"/>
      <c r="F56" s="4"/>
      <c r="G56" s="4"/>
      <c r="H56" s="4"/>
      <c r="I56" s="4"/>
      <c r="J56" s="19"/>
      <c r="K56" s="4"/>
      <c r="L56" s="4"/>
      <c r="M56" s="4"/>
      <c r="N56" s="4"/>
      <c r="O56" s="19"/>
      <c r="P56" s="4"/>
      <c r="Q56" s="4"/>
      <c r="R56" s="4"/>
      <c r="S56" s="2"/>
      <c r="T56" s="8"/>
    </row>
    <row r="57" spans="1:20" ht="12.75">
      <c r="A57" s="11" t="s">
        <v>90</v>
      </c>
      <c r="B57" s="2" t="s">
        <v>91</v>
      </c>
      <c r="C57" s="7">
        <v>23</v>
      </c>
      <c r="D57" s="4">
        <v>3.5</v>
      </c>
      <c r="E57" s="5">
        <f>(C57+D57/4)/24</f>
        <v>0.9947916666666666</v>
      </c>
      <c r="F57" s="4">
        <v>22.5</v>
      </c>
      <c r="G57" s="4">
        <f>F57*(373.242/349.9144)</f>
        <v>23.999998285294918</v>
      </c>
      <c r="H57" s="4">
        <f>349.9144/F57</f>
        <v>15.55175111111111</v>
      </c>
      <c r="I57" s="4">
        <f>H57*E57</f>
        <v>15.470752407407407</v>
      </c>
      <c r="J57" s="19">
        <f>I57*(1/M57)</f>
        <v>15.470752407407407</v>
      </c>
      <c r="K57" s="4">
        <v>20</v>
      </c>
      <c r="L57" s="4">
        <v>0</v>
      </c>
      <c r="M57" s="4">
        <f>(K57*12+L57)/240</f>
        <v>1</v>
      </c>
      <c r="N57" s="4">
        <f>(F57*M57)</f>
        <v>22.5</v>
      </c>
      <c r="O57" s="19">
        <f>G57*M57</f>
        <v>23.999998285294918</v>
      </c>
      <c r="P57" s="4">
        <f>(1000/349.9144/0.9947917)*N57</f>
        <v>64.63809517198058</v>
      </c>
      <c r="Q57" s="4">
        <v>5.792922574855527</v>
      </c>
      <c r="R57" s="4">
        <f>P57/Q57</f>
        <v>11.1581148093616</v>
      </c>
      <c r="S57" s="4"/>
      <c r="T57" s="8"/>
    </row>
    <row r="58" spans="1:20" ht="12.75">
      <c r="A58" s="11"/>
      <c r="B58" s="2"/>
      <c r="C58" s="7"/>
      <c r="D58" s="4"/>
      <c r="E58" s="5"/>
      <c r="F58" s="4"/>
      <c r="G58" s="4"/>
      <c r="H58" s="4"/>
      <c r="I58" s="4"/>
      <c r="J58" s="19"/>
      <c r="K58" s="4"/>
      <c r="L58" s="4"/>
      <c r="M58" s="4"/>
      <c r="N58" s="4"/>
      <c r="O58" s="19"/>
      <c r="P58" s="4"/>
      <c r="Q58" s="4"/>
      <c r="R58" s="4"/>
      <c r="S58" s="4"/>
      <c r="T58" s="8"/>
    </row>
    <row r="59" spans="1:20" ht="12.75">
      <c r="A59" s="11" t="s">
        <v>92</v>
      </c>
      <c r="B59" s="2" t="s">
        <v>88</v>
      </c>
      <c r="C59" s="7">
        <v>23</v>
      </c>
      <c r="D59" s="4">
        <v>3.5</v>
      </c>
      <c r="E59" s="5">
        <f>(C59+D59/4)/24</f>
        <v>0.9947916666666666</v>
      </c>
      <c r="F59" s="4">
        <v>67.5</v>
      </c>
      <c r="G59" s="4">
        <f>F59*(373.242/349.9144)</f>
        <v>71.99999485588475</v>
      </c>
      <c r="H59" s="4">
        <f>373.242/G59</f>
        <v>5.1839170370370375</v>
      </c>
      <c r="I59" s="4">
        <f>H59*(23.875/24)</f>
        <v>5.156917469135803</v>
      </c>
      <c r="J59" s="19">
        <f>I59*(1/M59)</f>
        <v>14.064320370370373</v>
      </c>
      <c r="K59" s="4">
        <v>7</v>
      </c>
      <c r="L59" s="4">
        <v>4</v>
      </c>
      <c r="M59" s="4">
        <f>(K59*12+L59)/240</f>
        <v>0.36666666666666664</v>
      </c>
      <c r="N59" s="4">
        <f>(F59*M59)</f>
        <v>24.75</v>
      </c>
      <c r="O59" s="19">
        <f>G59*M59</f>
        <v>26.399998113824406</v>
      </c>
      <c r="P59" s="4">
        <f>(1000/349.9144/0.9947917)*N59</f>
        <v>71.10190468917864</v>
      </c>
      <c r="Q59" s="4">
        <v>5.792922574855527</v>
      </c>
      <c r="R59" s="4">
        <f>P59/Q59</f>
        <v>12.273926290297759</v>
      </c>
      <c r="S59" s="4"/>
      <c r="T59" s="8"/>
    </row>
    <row r="60" spans="1:20" ht="12.75">
      <c r="A60" s="11"/>
      <c r="B60" s="2" t="s">
        <v>89</v>
      </c>
      <c r="C60" s="7">
        <v>23</v>
      </c>
      <c r="D60" s="4">
        <v>3.5</v>
      </c>
      <c r="E60" s="5">
        <f>(C60+D60/4)/24</f>
        <v>0.9947916666666666</v>
      </c>
      <c r="F60" s="4">
        <v>45</v>
      </c>
      <c r="G60" s="4">
        <f>F60*(373.242/349.9144)</f>
        <v>47.999996570589836</v>
      </c>
      <c r="H60" s="4">
        <f>349.9144/F60</f>
        <v>7.775875555555555</v>
      </c>
      <c r="I60" s="4">
        <f>H60*(23.875/24)</f>
        <v>7.735376203703703</v>
      </c>
      <c r="J60" s="19">
        <f>I60*(1/M60)</f>
        <v>14.06432037037037</v>
      </c>
      <c r="K60" s="4">
        <v>11</v>
      </c>
      <c r="L60" s="4">
        <v>0</v>
      </c>
      <c r="M60" s="4">
        <f>(K60*12+L60)/240</f>
        <v>0.55</v>
      </c>
      <c r="N60" s="4">
        <f>(F60*M60)</f>
        <v>24.750000000000004</v>
      </c>
      <c r="O60" s="19">
        <f>G60*M60</f>
        <v>26.399998113824413</v>
      </c>
      <c r="P60" s="4">
        <f>(1000/349.9144/0.9947917)*N60</f>
        <v>71.10190468917865</v>
      </c>
      <c r="Q60" s="4">
        <v>5.792922574855527</v>
      </c>
      <c r="R60" s="4">
        <f>P60/Q60</f>
        <v>12.273926290297762</v>
      </c>
      <c r="S60" s="4"/>
      <c r="T60" s="8"/>
    </row>
    <row r="61" spans="1:20" ht="12.75">
      <c r="A61" s="11"/>
      <c r="B61" s="2" t="s">
        <v>91</v>
      </c>
      <c r="C61" s="7">
        <v>23</v>
      </c>
      <c r="D61" s="4">
        <v>3.5</v>
      </c>
      <c r="E61" s="5">
        <f>(C61+D61/4)/24</f>
        <v>0.9947916666666666</v>
      </c>
      <c r="F61" s="4">
        <v>22.5</v>
      </c>
      <c r="G61" s="4">
        <f>F61*(373.242/349.9144)</f>
        <v>23.999998285294918</v>
      </c>
      <c r="H61" s="4">
        <f>349.9144/F61</f>
        <v>15.55175111111111</v>
      </c>
      <c r="I61" s="4">
        <f>H61*E61</f>
        <v>15.470752407407407</v>
      </c>
      <c r="J61" s="19">
        <f>I61*(1/M61)</f>
        <v>14.06432037037037</v>
      </c>
      <c r="K61" s="4">
        <v>22</v>
      </c>
      <c r="L61" s="4">
        <v>0</v>
      </c>
      <c r="M61" s="4">
        <f>(K61*12+L61)/240</f>
        <v>1.1</v>
      </c>
      <c r="N61" s="4">
        <f>(F61*M61)</f>
        <v>24.750000000000004</v>
      </c>
      <c r="O61" s="19">
        <f>G61*M61</f>
        <v>26.399998113824413</v>
      </c>
      <c r="P61" s="4">
        <f>(1000/349.9144/0.9947917)*N61</f>
        <v>71.10190468917865</v>
      </c>
      <c r="Q61" s="4">
        <v>5.792922574855527</v>
      </c>
      <c r="R61" s="4">
        <f>P61/Q61</f>
        <v>12.273926290297762</v>
      </c>
      <c r="S61" s="4"/>
      <c r="T61" s="8"/>
    </row>
    <row r="62" spans="1:20" ht="12.75">
      <c r="A62" s="11"/>
      <c r="B62" s="2" t="s">
        <v>93</v>
      </c>
      <c r="C62" s="7">
        <v>23</v>
      </c>
      <c r="D62" s="4">
        <v>3.5</v>
      </c>
      <c r="E62" s="5">
        <f>(C62+D62/4)/24</f>
        <v>0.9947916666666666</v>
      </c>
      <c r="F62" s="4">
        <f>G62*(349.914/373.242)</f>
        <v>109.99956961435207</v>
      </c>
      <c r="G62" s="4">
        <v>117.333</v>
      </c>
      <c r="H62" s="4">
        <f>349.9144/F62</f>
        <v>3.1810524461756193</v>
      </c>
      <c r="I62" s="4">
        <f>H62*E62</f>
        <v>3.1644844646851213</v>
      </c>
      <c r="J62" s="19">
        <f>I62*(1/M62)</f>
        <v>14.06437539860054</v>
      </c>
      <c r="K62" s="4">
        <v>4</v>
      </c>
      <c r="L62" s="4">
        <v>6</v>
      </c>
      <c r="M62" s="4">
        <f>(K62*12+L62)/240</f>
        <v>0.225</v>
      </c>
      <c r="N62" s="4">
        <f>(F62*M62)</f>
        <v>24.749903163229217</v>
      </c>
      <c r="O62" s="19">
        <f>G62*M62</f>
        <v>26.399925</v>
      </c>
      <c r="P62" s="4">
        <f>(1000/349.9144/0.9947917)*N62</f>
        <v>71.10162649609393</v>
      </c>
      <c r="Q62" s="4">
        <v>5.792922574855527</v>
      </c>
      <c r="R62" s="4">
        <f>P62/Q62</f>
        <v>12.27387826737304</v>
      </c>
      <c r="S62" s="15"/>
      <c r="T62" s="8"/>
    </row>
    <row r="63" spans="1:20" ht="12.75">
      <c r="A63" s="11"/>
      <c r="B63" s="2"/>
      <c r="C63" s="7"/>
      <c r="D63" s="4"/>
      <c r="E63" s="5"/>
      <c r="F63" s="4"/>
      <c r="G63" s="4"/>
      <c r="H63" s="4"/>
      <c r="I63" s="4"/>
      <c r="J63" s="19"/>
      <c r="K63" s="4"/>
      <c r="L63" s="4"/>
      <c r="M63" s="4"/>
      <c r="N63" s="4"/>
      <c r="O63" s="19"/>
      <c r="P63" s="4"/>
      <c r="Q63" s="4"/>
      <c r="R63" s="4"/>
      <c r="S63" s="2"/>
      <c r="T63" s="8"/>
    </row>
    <row r="64" spans="1:20" ht="12.75">
      <c r="A64" s="11" t="s">
        <v>94</v>
      </c>
      <c r="B64" s="2" t="s">
        <v>88</v>
      </c>
      <c r="C64" s="7">
        <v>23</v>
      </c>
      <c r="D64" s="4">
        <v>3.5</v>
      </c>
      <c r="E64" s="5">
        <f>(C64+D64/4)/24</f>
        <v>0.9947916666666666</v>
      </c>
      <c r="F64" s="4">
        <v>67.5</v>
      </c>
      <c r="G64" s="4">
        <f>F64*(373.242/349.9144)</f>
        <v>71.99999485588475</v>
      </c>
      <c r="H64" s="4">
        <f>373.242/G64</f>
        <v>5.1839170370370375</v>
      </c>
      <c r="I64" s="4">
        <f>H64*(23.875/24)</f>
        <v>5.156917469135803</v>
      </c>
      <c r="J64" s="19">
        <f>I64*(1/M64)</f>
        <v>13.751779917695474</v>
      </c>
      <c r="K64" s="4">
        <v>7</v>
      </c>
      <c r="L64" s="4">
        <v>6</v>
      </c>
      <c r="M64" s="4">
        <f>(K64*12+L64)/240</f>
        <v>0.375</v>
      </c>
      <c r="N64" s="4">
        <f>(F64*M64)</f>
        <v>25.3125</v>
      </c>
      <c r="O64" s="19">
        <f>G64*M64</f>
        <v>26.99999807095678</v>
      </c>
      <c r="P64" s="4">
        <f>(1000/349.9144/0.9947917)*N64</f>
        <v>72.71785706847815</v>
      </c>
      <c r="Q64" s="4">
        <v>6.517681554776341</v>
      </c>
      <c r="R64" s="4">
        <f>P64/Q64</f>
        <v>11.157012882163361</v>
      </c>
      <c r="S64" s="2"/>
      <c r="T64" s="8"/>
    </row>
    <row r="65" spans="1:20" ht="12.75">
      <c r="A65" s="11"/>
      <c r="B65" s="2" t="s">
        <v>95</v>
      </c>
      <c r="C65" s="7">
        <v>23</v>
      </c>
      <c r="D65" s="4">
        <v>3.5</v>
      </c>
      <c r="E65" s="5">
        <f>(C65+D65/4)/24</f>
        <v>0.9947916666666666</v>
      </c>
      <c r="F65" s="4">
        <v>75.9375054</v>
      </c>
      <c r="G65" s="4">
        <f>F65*(373.242/349.914)</f>
        <v>81.0000925670502</v>
      </c>
      <c r="H65" s="4">
        <f>373.242/G65</f>
        <v>4.607920659979962</v>
      </c>
      <c r="I65" s="4">
        <f>H65*(23.875/24)</f>
        <v>4.5839210732092335</v>
      </c>
      <c r="J65" s="19">
        <f>I65*(1/M65)</f>
        <v>13.751763219627701</v>
      </c>
      <c r="K65" s="4">
        <v>6</v>
      </c>
      <c r="L65" s="4">
        <v>8</v>
      </c>
      <c r="M65" s="4">
        <f>(K65*12+L65)/240</f>
        <v>0.3333333333333333</v>
      </c>
      <c r="N65" s="4">
        <f>(F65*M65)</f>
        <v>25.3125018</v>
      </c>
      <c r="O65" s="19">
        <f>G65*M65</f>
        <v>27.0000308556834</v>
      </c>
      <c r="P65" s="4">
        <f>(1000/349.9144/0.9947917)*N65</f>
        <v>72.71786223952577</v>
      </c>
      <c r="Q65" s="4">
        <v>6.517681554776341</v>
      </c>
      <c r="R65" s="4">
        <f>P65/Q65</f>
        <v>11.157013675550944</v>
      </c>
      <c r="S65" s="2"/>
      <c r="T65" s="8"/>
    </row>
    <row r="66" spans="1:20" ht="12.75">
      <c r="A66" s="11"/>
      <c r="B66" s="2" t="s">
        <v>96</v>
      </c>
      <c r="C66" s="7">
        <v>22</v>
      </c>
      <c r="D66" s="4">
        <v>0</v>
      </c>
      <c r="E66" s="5">
        <f>(C66+D66/8)/24</f>
        <v>0.9166666666666666</v>
      </c>
      <c r="F66" s="4">
        <v>101.25</v>
      </c>
      <c r="G66" s="4">
        <f>F66*(373.242/349.9144)</f>
        <v>107.99999228382713</v>
      </c>
      <c r="H66" s="4">
        <f>373.242/G66</f>
        <v>3.455944691358025</v>
      </c>
      <c r="I66" s="4">
        <f>H66*(23.875/24)</f>
        <v>3.4379449794238686</v>
      </c>
      <c r="J66" s="19">
        <f>I66*(1/M66)</f>
        <v>13.751779917695474</v>
      </c>
      <c r="K66" s="4">
        <v>5</v>
      </c>
      <c r="L66" s="4">
        <v>0</v>
      </c>
      <c r="M66" s="4">
        <f>(K66*12+L66)/240</f>
        <v>0.25</v>
      </c>
      <c r="N66" s="4">
        <f>(F66*M66)</f>
        <v>25.3125</v>
      </c>
      <c r="O66" s="19">
        <f>G66*M66</f>
        <v>26.99999807095678</v>
      </c>
      <c r="P66" s="4">
        <f>(1000/349.9144/0.9947917)*N66</f>
        <v>72.71785706847815</v>
      </c>
      <c r="Q66" s="4">
        <v>6.517681554776341</v>
      </c>
      <c r="R66" s="4">
        <f>P66/Q66</f>
        <v>11.157012882163361</v>
      </c>
      <c r="S66" s="2"/>
      <c r="T66" s="8"/>
    </row>
    <row r="67" spans="1:20" ht="12.75">
      <c r="A67" s="11"/>
      <c r="B67" s="2"/>
      <c r="C67" s="7"/>
      <c r="D67" s="4"/>
      <c r="E67" s="5"/>
      <c r="F67" s="4"/>
      <c r="G67" s="4"/>
      <c r="H67" s="4"/>
      <c r="I67" s="4"/>
      <c r="J67" s="4"/>
      <c r="K67" s="4"/>
      <c r="L67" s="4"/>
      <c r="M67" s="4"/>
      <c r="N67" s="4"/>
      <c r="O67" s="2"/>
      <c r="P67" s="4"/>
      <c r="Q67" s="4"/>
      <c r="R67" s="2"/>
      <c r="S67" s="2"/>
      <c r="T67" s="8"/>
    </row>
    <row r="68" spans="1:20" ht="12.75">
      <c r="A68" s="1"/>
      <c r="B68" s="2"/>
      <c r="C68" s="7"/>
      <c r="D68" s="4"/>
      <c r="E68" s="5"/>
      <c r="F68" s="4"/>
      <c r="G68" s="6"/>
      <c r="H68" s="6"/>
      <c r="I68" s="6"/>
      <c r="J68" s="7"/>
      <c r="K68" s="4"/>
      <c r="L68" s="4"/>
      <c r="M68" s="4"/>
      <c r="N68" s="4"/>
      <c r="O68" s="2"/>
      <c r="P68" s="4"/>
      <c r="Q68" s="4"/>
      <c r="R68" s="2"/>
      <c r="S68" s="2"/>
      <c r="T68" s="8"/>
    </row>
    <row r="69" spans="1:20" ht="12.75">
      <c r="A69" s="11" t="s">
        <v>97</v>
      </c>
      <c r="B69" s="2" t="s">
        <v>98</v>
      </c>
      <c r="C69" s="7"/>
      <c r="D69" s="18"/>
      <c r="E69" s="5"/>
      <c r="F69" s="4"/>
      <c r="G69" s="6"/>
      <c r="H69" s="6"/>
      <c r="I69" s="6"/>
      <c r="J69" s="7"/>
      <c r="K69" s="4"/>
      <c r="L69" s="4"/>
      <c r="M69" s="4"/>
      <c r="N69" s="4"/>
      <c r="O69" s="2"/>
      <c r="P69" s="4"/>
      <c r="Q69" s="2"/>
      <c r="R69" s="2"/>
      <c r="S69" s="2"/>
      <c r="T69" s="8"/>
    </row>
    <row r="70" spans="1:20" ht="12.75">
      <c r="A70" s="1"/>
      <c r="B70" s="2"/>
      <c r="C70" s="7"/>
      <c r="D70" s="4"/>
      <c r="E70" s="5"/>
      <c r="F70" s="4"/>
      <c r="G70" s="6"/>
      <c r="H70" s="6"/>
      <c r="I70" s="6"/>
      <c r="J70" s="7"/>
      <c r="K70" s="4"/>
      <c r="L70" s="4"/>
      <c r="M70" s="4"/>
      <c r="N70" s="4"/>
      <c r="O70" s="2"/>
      <c r="P70" s="4"/>
      <c r="Q70" s="2"/>
      <c r="R70" s="2"/>
      <c r="S70" s="2"/>
      <c r="T70" s="8"/>
    </row>
    <row r="71" spans="1:20" ht="12.75">
      <c r="A71" s="1"/>
      <c r="B71" s="2"/>
      <c r="C71" s="7"/>
      <c r="D71" s="4"/>
      <c r="E71" s="5"/>
      <c r="F71" s="4"/>
      <c r="G71" s="6"/>
      <c r="H71" s="6"/>
      <c r="I71" s="6"/>
      <c r="J71" s="7"/>
      <c r="K71" s="4"/>
      <c r="L71" s="4"/>
      <c r="M71" s="4"/>
      <c r="N71" s="4"/>
      <c r="O71" s="2"/>
      <c r="P71" s="4"/>
      <c r="Q71" s="2"/>
      <c r="R71" s="2"/>
      <c r="S71" s="2"/>
      <c r="T71" s="8"/>
    </row>
    <row r="72" spans="1:20" ht="12.75">
      <c r="A72" s="1" t="s">
        <v>99</v>
      </c>
      <c r="B72" s="17" t="s">
        <v>100</v>
      </c>
      <c r="C72" s="7"/>
      <c r="D72" s="4"/>
      <c r="E72" s="5"/>
      <c r="F72" s="4"/>
      <c r="G72" s="6"/>
      <c r="H72" s="6"/>
      <c r="I72" s="6"/>
      <c r="J72" s="7"/>
      <c r="K72" s="4"/>
      <c r="L72" s="4"/>
      <c r="M72" s="4"/>
      <c r="N72" s="4"/>
      <c r="O72" s="2"/>
      <c r="P72" s="4"/>
      <c r="Q72" s="2"/>
      <c r="R72" s="2"/>
      <c r="S72" s="2"/>
      <c r="T72" s="8"/>
    </row>
    <row r="73" spans="1:20" ht="12.75">
      <c r="A73" s="1"/>
      <c r="B73" s="2" t="s">
        <v>101</v>
      </c>
      <c r="C73" s="7"/>
      <c r="D73" s="4"/>
      <c r="E73" s="5"/>
      <c r="F73" s="4"/>
      <c r="G73" s="6"/>
      <c r="H73" s="6"/>
      <c r="I73" s="6"/>
      <c r="J73" s="7"/>
      <c r="K73" s="4"/>
      <c r="L73" s="4"/>
      <c r="M73" s="4"/>
      <c r="N73" s="4"/>
      <c r="O73" s="2"/>
      <c r="P73" s="4"/>
      <c r="Q73" s="2"/>
      <c r="R73" s="2"/>
      <c r="S73" s="2"/>
      <c r="T73" s="8"/>
    </row>
    <row r="74" spans="1:20" ht="12.75">
      <c r="A74" s="1"/>
      <c r="B74" s="2" t="s">
        <v>102</v>
      </c>
      <c r="C74" s="7"/>
      <c r="D74" s="4"/>
      <c r="E74" s="5"/>
      <c r="F74" s="4"/>
      <c r="G74" s="6"/>
      <c r="H74" s="6"/>
      <c r="I74" s="6"/>
      <c r="J74" s="7"/>
      <c r="K74" s="4"/>
      <c r="L74" s="4"/>
      <c r="M74" s="4"/>
      <c r="N74" s="4"/>
      <c r="O74" s="2"/>
      <c r="P74" s="4"/>
      <c r="Q74" s="2"/>
      <c r="R74" s="2"/>
      <c r="S74" s="2"/>
      <c r="T74" s="8"/>
    </row>
    <row r="75" spans="1:20" ht="12.75">
      <c r="A75" s="1"/>
      <c r="B75" s="2" t="s">
        <v>103</v>
      </c>
      <c r="C75" s="7"/>
      <c r="D75" s="4"/>
      <c r="E75" s="5"/>
      <c r="F75" s="4"/>
      <c r="G75" s="6"/>
      <c r="H75" s="6"/>
      <c r="I75" s="6"/>
      <c r="J75" s="7"/>
      <c r="K75" s="4"/>
      <c r="L75" s="4"/>
      <c r="M75" s="4"/>
      <c r="N75" s="4"/>
      <c r="O75" s="2"/>
      <c r="P75" s="4"/>
      <c r="Q75" s="2"/>
      <c r="R75" s="2"/>
      <c r="S75" s="2"/>
      <c r="T75" s="8"/>
    </row>
    <row r="76" spans="1:20" ht="12.75">
      <c r="A76" s="1"/>
      <c r="B76" s="2" t="s">
        <v>104</v>
      </c>
      <c r="C76" s="7"/>
      <c r="D76" s="4"/>
      <c r="E76" s="5"/>
      <c r="F76" s="4"/>
      <c r="G76" s="6"/>
      <c r="H76" s="6"/>
      <c r="I76" s="6"/>
      <c r="J76" s="7"/>
      <c r="K76" s="4"/>
      <c r="L76" s="4"/>
      <c r="M76" s="4"/>
      <c r="N76" s="4"/>
      <c r="O76" s="2"/>
      <c r="P76" s="4"/>
      <c r="Q76" s="2"/>
      <c r="R76" s="2"/>
      <c r="S76" s="2"/>
      <c r="T76" s="8"/>
    </row>
    <row r="77" spans="1:20" ht="12.75">
      <c r="A77" s="1"/>
      <c r="B77" s="2" t="s">
        <v>105</v>
      </c>
      <c r="C77" s="7"/>
      <c r="D77" s="4"/>
      <c r="E77" s="5"/>
      <c r="F77" s="4"/>
      <c r="G77" s="6"/>
      <c r="H77" s="6"/>
      <c r="I77" s="6"/>
      <c r="J77" s="7"/>
      <c r="K77" s="4"/>
      <c r="L77" s="4"/>
      <c r="M77" s="4"/>
      <c r="N77" s="4"/>
      <c r="O77" s="2"/>
      <c r="P77" s="4"/>
      <c r="Q77" s="2"/>
      <c r="R77" s="2"/>
      <c r="S77" s="2"/>
      <c r="T77" s="8"/>
    </row>
    <row r="78" spans="1:20" ht="12.75">
      <c r="A78" s="1"/>
      <c r="B78" s="2" t="s">
        <v>106</v>
      </c>
      <c r="C78" s="7"/>
      <c r="D78" s="4"/>
      <c r="E78" s="5"/>
      <c r="F78" s="4"/>
      <c r="G78" s="6"/>
      <c r="H78" s="6"/>
      <c r="I78" s="6"/>
      <c r="J78" s="7"/>
      <c r="K78" s="4"/>
      <c r="L78" s="4"/>
      <c r="M78" s="4"/>
      <c r="N78" s="4"/>
      <c r="O78" s="2"/>
      <c r="P78" s="4"/>
      <c r="Q78" s="2"/>
      <c r="R78" s="2"/>
      <c r="S78" s="2"/>
      <c r="T78" s="8"/>
    </row>
    <row r="79" spans="1:20" ht="12.75">
      <c r="A79" s="1"/>
      <c r="B79" s="17" t="s">
        <v>107</v>
      </c>
      <c r="C79" s="7"/>
      <c r="D79" s="4"/>
      <c r="E79" s="5"/>
      <c r="F79" s="4"/>
      <c r="G79" s="6"/>
      <c r="H79" s="6"/>
      <c r="I79" s="6"/>
      <c r="J79" s="7"/>
      <c r="K79" s="4"/>
      <c r="L79" s="4"/>
      <c r="M79" s="4"/>
      <c r="N79" s="4"/>
      <c r="O79" s="2"/>
      <c r="P79" s="4"/>
      <c r="Q79" s="2"/>
      <c r="R79" s="2"/>
      <c r="S79" s="2"/>
      <c r="T79" s="8"/>
    </row>
    <row r="80" spans="1:20" ht="12.75">
      <c r="A80" s="1"/>
      <c r="B80" s="2" t="s">
        <v>108</v>
      </c>
      <c r="C80" s="7"/>
      <c r="D80" s="4"/>
      <c r="E80" s="5"/>
      <c r="F80" s="4"/>
      <c r="G80" s="6"/>
      <c r="H80" s="6"/>
      <c r="I80" s="6"/>
      <c r="J80" s="7"/>
      <c r="K80" s="4"/>
      <c r="L80" s="4"/>
      <c r="M80" s="4"/>
      <c r="N80" s="4"/>
      <c r="O80" s="2"/>
      <c r="P80" s="4"/>
      <c r="Q80" s="2"/>
      <c r="R80" s="2"/>
      <c r="S80" s="2"/>
      <c r="T80" s="8"/>
    </row>
    <row r="81" spans="1:20" ht="12.75">
      <c r="A81" s="1"/>
      <c r="B81" s="2" t="s">
        <v>109</v>
      </c>
      <c r="C81" s="7"/>
      <c r="D81" s="4"/>
      <c r="E81" s="5"/>
      <c r="F81" s="4"/>
      <c r="G81" s="6"/>
      <c r="H81" s="6"/>
      <c r="I81" s="6"/>
      <c r="J81" s="7"/>
      <c r="K81" s="4"/>
      <c r="L81" s="4"/>
      <c r="M81" s="4"/>
      <c r="N81" s="4"/>
      <c r="O81" s="2"/>
      <c r="P81" s="4"/>
      <c r="Q81" s="2"/>
      <c r="R81" s="2"/>
      <c r="S81" s="2"/>
      <c r="T81" s="8"/>
    </row>
    <row r="82" spans="1:20" ht="12.75">
      <c r="A82" s="1"/>
      <c r="B82" s="2" t="s">
        <v>110</v>
      </c>
      <c r="C82" s="7"/>
      <c r="D82" s="4"/>
      <c r="E82" s="5"/>
      <c r="F82" s="4"/>
      <c r="G82" s="6"/>
      <c r="H82" s="6"/>
      <c r="I82" s="6"/>
      <c r="J82" s="7"/>
      <c r="K82" s="4"/>
      <c r="L82" s="4"/>
      <c r="M82" s="4"/>
      <c r="N82" s="4"/>
      <c r="O82" s="2"/>
      <c r="P82" s="4"/>
      <c r="Q82" s="2"/>
      <c r="R82" s="2"/>
      <c r="S82" s="2"/>
      <c r="T82" s="8"/>
    </row>
    <row r="83" spans="1:20" ht="12.75">
      <c r="A83" s="1"/>
      <c r="B83" s="2" t="s">
        <v>111</v>
      </c>
      <c r="C83" s="7"/>
      <c r="D83" s="4"/>
      <c r="E83" s="5"/>
      <c r="F83" s="4"/>
      <c r="G83" s="6"/>
      <c r="H83" s="6"/>
      <c r="I83" s="6"/>
      <c r="J83" s="7"/>
      <c r="K83" s="4"/>
      <c r="L83" s="4"/>
      <c r="M83" s="4"/>
      <c r="N83" s="4"/>
      <c r="O83" s="2"/>
      <c r="P83" s="4"/>
      <c r="Q83" s="2"/>
      <c r="R83" s="2"/>
      <c r="S83" s="2"/>
      <c r="T83" s="8"/>
    </row>
    <row r="84" spans="1:20" ht="12.75">
      <c r="A84" s="1"/>
      <c r="B84" s="17" t="s">
        <v>112</v>
      </c>
      <c r="C84" s="7"/>
      <c r="D84" s="4"/>
      <c r="E84" s="5"/>
      <c r="F84" s="4"/>
      <c r="G84" s="6"/>
      <c r="H84" s="6"/>
      <c r="I84" s="6"/>
      <c r="J84" s="7"/>
      <c r="K84" s="4"/>
      <c r="L84" s="4"/>
      <c r="M84" s="4"/>
      <c r="N84" s="4"/>
      <c r="O84" s="2"/>
      <c r="P84" s="4"/>
      <c r="Q84" s="2"/>
      <c r="R84" s="2"/>
      <c r="S84" s="2"/>
      <c r="T84" s="8"/>
    </row>
    <row r="85" spans="1:20" ht="12.75">
      <c r="A85" s="1"/>
      <c r="B85" s="2" t="s">
        <v>113</v>
      </c>
      <c r="C85" s="7"/>
      <c r="D85" s="4"/>
      <c r="E85" s="5"/>
      <c r="F85" s="4"/>
      <c r="G85" s="6"/>
      <c r="H85" s="6"/>
      <c r="I85" s="6"/>
      <c r="J85" s="7"/>
      <c r="K85" s="4"/>
      <c r="L85" s="4"/>
      <c r="M85" s="4"/>
      <c r="N85" s="4"/>
      <c r="O85" s="2"/>
      <c r="P85" s="4"/>
      <c r="Q85" s="2"/>
      <c r="R85" s="2"/>
      <c r="S85" s="2"/>
      <c r="T85" s="8"/>
    </row>
    <row r="86" spans="1:20" ht="12.75">
      <c r="A86" s="1"/>
      <c r="B86" s="2" t="s">
        <v>114</v>
      </c>
      <c r="C86" s="7"/>
      <c r="D86" s="4"/>
      <c r="E86" s="5"/>
      <c r="F86" s="4"/>
      <c r="G86" s="6"/>
      <c r="H86" s="6"/>
      <c r="I86" s="6"/>
      <c r="J86" s="7"/>
      <c r="K86" s="4"/>
      <c r="L86" s="4"/>
      <c r="M86" s="4"/>
      <c r="N86" s="4"/>
      <c r="O86" s="2"/>
      <c r="P86" s="4"/>
      <c r="Q86" s="2"/>
      <c r="R86" s="2"/>
      <c r="S86" s="2"/>
      <c r="T86" s="8"/>
    </row>
    <row r="87" spans="1:19" ht="12.75">
      <c r="A87" s="20"/>
      <c r="B87" s="21" t="s">
        <v>115</v>
      </c>
      <c r="C87" s="22"/>
      <c r="D87" s="23"/>
      <c r="E87" s="24"/>
      <c r="F87" s="23"/>
      <c r="G87" s="25"/>
      <c r="H87" s="25"/>
      <c r="I87" s="25"/>
      <c r="J87" s="22"/>
      <c r="K87" s="23"/>
      <c r="L87" s="23"/>
      <c r="M87" s="23"/>
      <c r="N87" s="23"/>
      <c r="O87" s="21"/>
      <c r="P87" s="23"/>
      <c r="Q87" s="21"/>
      <c r="R87" s="21"/>
      <c r="S87" s="21"/>
    </row>
    <row r="88" ht="12.75">
      <c r="B88" t="s">
        <v>116</v>
      </c>
    </row>
    <row r="89" ht="12.75">
      <c r="B89" t="s">
        <v>117</v>
      </c>
    </row>
    <row r="106" ht="12.75">
      <c r="B106" t="s">
        <v>118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1" width="14.28125" style="0" customWidth="1"/>
    <col min="2" max="2" width="19.7109375" style="0" customWidth="1"/>
    <col min="3" max="3" width="11.28125" style="0" customWidth="1"/>
    <col min="4" max="4" width="10.8515625" style="34" customWidth="1"/>
    <col min="5" max="5" width="13.421875" style="34" customWidth="1"/>
    <col min="6" max="6" width="12.7109375" style="35" customWidth="1"/>
    <col min="7" max="7" width="12.8515625" style="0" customWidth="1"/>
  </cols>
  <sheetData>
    <row r="1" spans="1:9" ht="12.75">
      <c r="A1" s="31" t="s">
        <v>119</v>
      </c>
      <c r="B1" s="31"/>
      <c r="C1" s="31"/>
      <c r="D1" s="32"/>
      <c r="E1" s="32" t="s">
        <v>120</v>
      </c>
      <c r="F1" s="33"/>
      <c r="G1" s="31"/>
      <c r="H1" s="31"/>
      <c r="I1" s="31"/>
    </row>
    <row r="2" spans="1:9" ht="12.75">
      <c r="A2" s="31"/>
      <c r="B2" s="31"/>
      <c r="C2" s="31"/>
      <c r="D2" s="32"/>
      <c r="E2" s="32"/>
      <c r="F2" s="33"/>
      <c r="G2" s="31"/>
      <c r="H2" s="31"/>
      <c r="I2" s="31"/>
    </row>
    <row r="3" spans="1:9" ht="12.75">
      <c r="A3" s="31" t="s">
        <v>121</v>
      </c>
      <c r="B3" s="31" t="s">
        <v>122</v>
      </c>
      <c r="C3" s="31" t="s">
        <v>123</v>
      </c>
      <c r="D3" s="32" t="s">
        <v>124</v>
      </c>
      <c r="E3" s="32" t="s">
        <v>125</v>
      </c>
      <c r="F3" s="33" t="s">
        <v>126</v>
      </c>
      <c r="G3" s="31" t="s">
        <v>127</v>
      </c>
      <c r="H3" s="31"/>
      <c r="I3" s="31"/>
    </row>
    <row r="4" spans="1:9" ht="12.75">
      <c r="A4" s="31"/>
      <c r="B4" s="31" t="s">
        <v>128</v>
      </c>
      <c r="C4" s="31"/>
      <c r="D4" s="32" t="s">
        <v>129</v>
      </c>
      <c r="E4" s="32" t="s">
        <v>130</v>
      </c>
      <c r="F4" s="33" t="s">
        <v>130</v>
      </c>
      <c r="G4" s="31" t="s">
        <v>131</v>
      </c>
      <c r="H4" s="31"/>
      <c r="I4" s="31"/>
    </row>
    <row r="6" spans="1:7" ht="12.75">
      <c r="A6" t="s">
        <v>35</v>
      </c>
      <c r="B6" t="s">
        <v>129</v>
      </c>
      <c r="C6" t="s">
        <v>132</v>
      </c>
      <c r="D6" s="34">
        <v>50</v>
      </c>
      <c r="E6" s="34">
        <v>294</v>
      </c>
      <c r="F6" s="35">
        <f>E6/240</f>
        <v>1.225</v>
      </c>
      <c r="G6">
        <v>36</v>
      </c>
    </row>
    <row r="7" spans="1:7" ht="12.75">
      <c r="B7" t="s">
        <v>129</v>
      </c>
      <c r="C7" t="s">
        <v>134</v>
      </c>
      <c r="D7" s="34">
        <v>42</v>
      </c>
      <c r="E7" s="34">
        <f>42/50*294</f>
        <v>246.95999999999998</v>
      </c>
      <c r="F7" s="35">
        <f>E7/240</f>
        <v>1.029</v>
      </c>
      <c r="G7">
        <v>25</v>
      </c>
    </row>
    <row r="8" spans="1:7" ht="12.75">
      <c r="B8" t="s">
        <v>129</v>
      </c>
      <c r="C8" t="s">
        <v>135</v>
      </c>
      <c r="D8" s="34">
        <v>42</v>
      </c>
      <c r="E8" s="34">
        <f>42/50*294</f>
        <v>246.95999999999998</v>
      </c>
      <c r="F8" s="35">
        <f>E8/240</f>
        <v>1.029</v>
      </c>
      <c r="G8">
        <v>26</v>
      </c>
    </row>
    <row r="10" spans="1:7" ht="12.75">
      <c r="A10" t="s">
        <v>136</v>
      </c>
      <c r="B10" t="s">
        <v>130</v>
      </c>
      <c r="C10" t="s">
        <v>137</v>
      </c>
      <c r="D10" s="34">
        <v>74</v>
      </c>
      <c r="E10" s="34">
        <f>(36*12)+3</f>
        <v>435</v>
      </c>
      <c r="F10" s="35">
        <f>E10/240</f>
        <v>1.8125</v>
      </c>
      <c r="G10">
        <v>51</v>
      </c>
    </row>
    <row r="11" spans="1:7" ht="12.75">
      <c r="A11" t="s">
        <v>136</v>
      </c>
      <c r="B11" t="s">
        <v>130</v>
      </c>
      <c r="C11" t="s">
        <v>134</v>
      </c>
      <c r="D11" s="34">
        <v>76</v>
      </c>
      <c r="E11" s="34">
        <f>4*240</f>
        <v>960</v>
      </c>
      <c r="F11" s="35">
        <f>E11/240</f>
        <v>4</v>
      </c>
      <c r="G11">
        <v>52</v>
      </c>
    </row>
    <row r="12" spans="1:7" ht="12.75">
      <c r="A12" t="s">
        <v>136</v>
      </c>
      <c r="B12" t="s">
        <v>130</v>
      </c>
      <c r="C12" t="s">
        <v>135</v>
      </c>
      <c r="D12" s="34">
        <v>76</v>
      </c>
      <c r="E12" s="34">
        <f>4*240</f>
        <v>960</v>
      </c>
      <c r="F12" s="35">
        <f>E12/240</f>
        <v>4</v>
      </c>
      <c r="G12">
        <v>56</v>
      </c>
    </row>
    <row r="14" spans="1:7" ht="12.75">
      <c r="A14" t="s">
        <v>88</v>
      </c>
      <c r="B14" t="s">
        <v>131</v>
      </c>
      <c r="C14" t="s">
        <v>132</v>
      </c>
      <c r="D14" s="34">
        <v>116</v>
      </c>
      <c r="E14" s="34">
        <v>682</v>
      </c>
      <c r="F14" s="35">
        <f>E14/240</f>
        <v>2.841666666666667</v>
      </c>
      <c r="G14">
        <v>80</v>
      </c>
    </row>
    <row r="15" spans="1:7" ht="12.75">
      <c r="A15" t="s">
        <v>88</v>
      </c>
      <c r="B15" t="s">
        <v>131</v>
      </c>
      <c r="C15" t="s">
        <v>134</v>
      </c>
      <c r="D15" s="34">
        <v>116</v>
      </c>
      <c r="E15" s="34">
        <f>61*12</f>
        <v>732</v>
      </c>
      <c r="F15" s="35">
        <f>E15/240</f>
        <v>3.05</v>
      </c>
      <c r="G15">
        <v>80</v>
      </c>
    </row>
    <row r="16" spans="1:7" ht="12.75">
      <c r="A16" t="s">
        <v>88</v>
      </c>
      <c r="B16" t="s">
        <v>131</v>
      </c>
      <c r="C16" t="s">
        <v>135</v>
      </c>
      <c r="D16" s="34">
        <v>119</v>
      </c>
      <c r="E16" s="34">
        <f>61*12</f>
        <v>732</v>
      </c>
      <c r="F16" s="35">
        <f>E16/240</f>
        <v>3.05</v>
      </c>
      <c r="G16">
        <v>90</v>
      </c>
    </row>
    <row r="17" spans="1:7" ht="12.75">
      <c r="A17" t="s">
        <v>93</v>
      </c>
      <c r="B17" t="s">
        <v>131</v>
      </c>
      <c r="C17" t="s">
        <v>138</v>
      </c>
      <c r="D17" s="34">
        <f>(3.164/3.438)*76</f>
        <v>69.94299011052938</v>
      </c>
      <c r="E17" s="34">
        <f>F17*240</f>
        <v>450</v>
      </c>
      <c r="F17" s="35">
        <f>37.5/20</f>
        <v>1.875</v>
      </c>
      <c r="G17">
        <f>4.5*12</f>
        <v>54</v>
      </c>
    </row>
    <row r="18" spans="1:7" ht="12.75">
      <c r="A18" t="s">
        <v>93</v>
      </c>
      <c r="B18" t="s">
        <v>131</v>
      </c>
      <c r="C18" t="s">
        <v>135</v>
      </c>
      <c r="D18" s="34">
        <v>76</v>
      </c>
      <c r="E18" s="34">
        <f>40*12</f>
        <v>480</v>
      </c>
      <c r="F18" s="35">
        <f>E18/240</f>
        <v>2</v>
      </c>
      <c r="G18">
        <v>60</v>
      </c>
    </row>
    <row r="20" spans="1:7" ht="12.75">
      <c r="A20" t="s">
        <v>139</v>
      </c>
      <c r="B20" t="s">
        <v>140</v>
      </c>
      <c r="C20" t="s">
        <v>132</v>
      </c>
      <c r="D20" s="34">
        <v>79</v>
      </c>
      <c r="E20" s="34">
        <f>41.5*12</f>
        <v>498</v>
      </c>
      <c r="F20" s="35">
        <f>E20/240</f>
        <v>2.075</v>
      </c>
      <c r="G20">
        <v>54</v>
      </c>
    </row>
    <row r="21" spans="1:7" ht="12.75">
      <c r="A21" t="s">
        <v>139</v>
      </c>
      <c r="B21" t="s">
        <v>140</v>
      </c>
      <c r="C21" t="s">
        <v>134</v>
      </c>
      <c r="D21" s="34">
        <v>80</v>
      </c>
      <c r="E21" s="34">
        <f>45.5*12</f>
        <v>546</v>
      </c>
      <c r="F21" s="35">
        <f>E21/240</f>
        <v>2.275</v>
      </c>
      <c r="G21">
        <v>54</v>
      </c>
    </row>
    <row r="22" spans="1:7" ht="12.75">
      <c r="A22" t="s">
        <v>139</v>
      </c>
      <c r="B22" t="s">
        <v>140</v>
      </c>
      <c r="C22" t="s">
        <v>135</v>
      </c>
      <c r="D22" s="34">
        <v>80</v>
      </c>
      <c r="E22" s="34">
        <f>45.5*12</f>
        <v>546</v>
      </c>
      <c r="F22" s="35">
        <f>E22/240</f>
        <v>2.275</v>
      </c>
      <c r="G22">
        <v>56</v>
      </c>
    </row>
    <row r="24" spans="1:7" ht="12.75">
      <c r="A24" t="s">
        <v>141</v>
      </c>
      <c r="B24" t="s">
        <v>142</v>
      </c>
      <c r="C24" t="s">
        <v>132</v>
      </c>
      <c r="D24" s="34">
        <v>56</v>
      </c>
      <c r="E24" s="34">
        <f>240*F24</f>
        <v>345.12</v>
      </c>
      <c r="F24" s="35">
        <v>1.438</v>
      </c>
      <c r="G24">
        <v>39</v>
      </c>
    </row>
    <row r="25" spans="1:7" ht="12.75">
      <c r="A25" t="s">
        <v>141</v>
      </c>
      <c r="B25" t="s">
        <v>142</v>
      </c>
      <c r="C25" t="s">
        <v>134</v>
      </c>
      <c r="D25" s="34">
        <v>59</v>
      </c>
      <c r="E25" s="34">
        <f>30*12</f>
        <v>360</v>
      </c>
      <c r="F25" s="35">
        <f>E25/240</f>
        <v>1.5</v>
      </c>
      <c r="G25">
        <v>39</v>
      </c>
    </row>
    <row r="26" spans="1:7" ht="12.75">
      <c r="A26" t="s">
        <v>141</v>
      </c>
      <c r="B26" t="s">
        <v>142</v>
      </c>
      <c r="C26" t="s">
        <v>135</v>
      </c>
      <c r="D26" s="34">
        <v>59</v>
      </c>
      <c r="E26" s="34">
        <f>30*12</f>
        <v>360</v>
      </c>
      <c r="F26" s="35">
        <f>E26/240</f>
        <v>1.5</v>
      </c>
      <c r="G26">
        <v>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2.8515625" style="0" customWidth="1"/>
    <col min="3" max="3" width="11.140625" style="37" customWidth="1"/>
    <col min="4" max="4" width="13.00390625" style="35" customWidth="1"/>
    <col min="5" max="5" width="12.421875" style="0" customWidth="1"/>
    <col min="6" max="6" width="11.57421875" style="0" customWidth="1"/>
    <col min="7" max="7" width="13.28125" style="0" customWidth="1"/>
    <col min="8" max="8" width="12.00390625" style="37" customWidth="1"/>
    <col min="9" max="9" width="13.00390625" style="0" customWidth="1"/>
    <col min="10" max="10" width="12.421875" style="0" customWidth="1"/>
    <col min="11" max="11" width="13.7109375" style="35" customWidth="1"/>
    <col min="12" max="12" width="9.421875" style="35" customWidth="1"/>
    <col min="13" max="13" width="11.7109375" style="0" customWidth="1"/>
    <col min="14" max="14" width="10.421875" style="0" customWidth="1"/>
    <col min="15" max="15" width="13.421875" style="0" customWidth="1"/>
    <col min="16" max="16" width="13.421875" style="35" customWidth="1"/>
    <col min="17" max="17" width="9.00390625" style="0" customWidth="1"/>
    <col min="18" max="18" width="7.140625" style="0" customWidth="1"/>
    <col min="19" max="19" width="9.57421875" style="0" customWidth="1"/>
    <col min="20" max="20" width="10.8515625" style="0" customWidth="1"/>
  </cols>
  <sheetData>
    <row r="1" spans="1:2" ht="12.75">
      <c r="A1" s="31" t="s">
        <v>143</v>
      </c>
      <c r="B1" s="36" t="s">
        <v>144</v>
      </c>
    </row>
    <row r="3" spans="1:7" ht="12.75">
      <c r="A3" s="31" t="s">
        <v>2</v>
      </c>
      <c r="B3" s="38" t="s">
        <v>3</v>
      </c>
      <c r="E3" s="27"/>
      <c r="F3" s="39"/>
      <c r="G3" s="27"/>
    </row>
    <row r="6" spans="1:17" ht="12.75">
      <c r="A6" s="26" t="s">
        <v>4</v>
      </c>
      <c r="B6" s="40" t="s">
        <v>5</v>
      </c>
      <c r="C6" s="26" t="s">
        <v>13</v>
      </c>
      <c r="D6" s="41" t="s">
        <v>145</v>
      </c>
      <c r="E6" s="42" t="s">
        <v>10</v>
      </c>
      <c r="F6" s="43" t="s">
        <v>146</v>
      </c>
      <c r="G6" s="41" t="s">
        <v>146</v>
      </c>
      <c r="H6" s="44" t="s">
        <v>147</v>
      </c>
      <c r="I6" s="45" t="s">
        <v>148</v>
      </c>
      <c r="J6" s="45" t="s">
        <v>8</v>
      </c>
      <c r="K6" s="42" t="s">
        <v>65</v>
      </c>
      <c r="L6" s="46" t="s">
        <v>13</v>
      </c>
      <c r="M6" s="47" t="s">
        <v>149</v>
      </c>
      <c r="N6" s="46" t="s">
        <v>150</v>
      </c>
      <c r="O6" s="46" t="s">
        <v>150</v>
      </c>
      <c r="P6" s="48" t="s">
        <v>151</v>
      </c>
      <c r="Q6" s="30"/>
    </row>
    <row r="7" spans="1:17" ht="12.75">
      <c r="A7" s="26"/>
      <c r="B7" s="40"/>
      <c r="C7" s="26" t="s">
        <v>152</v>
      </c>
      <c r="D7" s="41" t="s">
        <v>133</v>
      </c>
      <c r="E7" s="42" t="s">
        <v>133</v>
      </c>
      <c r="F7" s="43" t="s">
        <v>153</v>
      </c>
      <c r="G7" s="41" t="s">
        <v>133</v>
      </c>
      <c r="H7" s="44"/>
      <c r="I7" s="45" t="s">
        <v>154</v>
      </c>
      <c r="J7" s="45" t="s">
        <v>155</v>
      </c>
      <c r="K7" s="42" t="s">
        <v>133</v>
      </c>
      <c r="L7" s="46" t="s">
        <v>152</v>
      </c>
      <c r="M7" s="47" t="s">
        <v>156</v>
      </c>
      <c r="N7" s="46" t="s">
        <v>157</v>
      </c>
      <c r="O7" s="46" t="s">
        <v>158</v>
      </c>
      <c r="P7" s="48" t="s">
        <v>159</v>
      </c>
      <c r="Q7" s="30"/>
    </row>
    <row r="8" spans="1:17" ht="12.75">
      <c r="A8" s="26"/>
      <c r="C8" s="26" t="s">
        <v>160</v>
      </c>
      <c r="D8" s="39"/>
      <c r="E8" s="30"/>
      <c r="F8" s="27"/>
      <c r="G8" s="39"/>
      <c r="H8" s="49"/>
      <c r="I8" s="45">
        <v>0.95833</v>
      </c>
      <c r="J8" s="45" t="s">
        <v>161</v>
      </c>
      <c r="K8" s="42" t="s">
        <v>81</v>
      </c>
      <c r="L8" s="28"/>
      <c r="M8" s="50"/>
      <c r="N8" s="46" t="s">
        <v>162</v>
      </c>
      <c r="O8" s="46" t="s">
        <v>162</v>
      </c>
      <c r="P8" s="48" t="s">
        <v>162</v>
      </c>
      <c r="Q8" s="30"/>
    </row>
    <row r="9" spans="1:17" ht="12.75">
      <c r="A9" s="26"/>
      <c r="E9" s="30"/>
      <c r="F9" s="27"/>
      <c r="G9" s="39"/>
      <c r="I9" s="51"/>
      <c r="J9" s="51"/>
      <c r="M9" s="50"/>
      <c r="N9" s="28"/>
      <c r="O9" s="28"/>
      <c r="Q9" s="48"/>
    </row>
    <row r="10" spans="1:18" ht="12.75">
      <c r="A10" s="26" t="s">
        <v>33</v>
      </c>
      <c r="B10" t="s">
        <v>163</v>
      </c>
      <c r="C10" s="52">
        <v>6</v>
      </c>
      <c r="D10" s="39">
        <v>72</v>
      </c>
      <c r="E10" s="30">
        <f>244.7529/D10</f>
        <v>3.3993458333333333</v>
      </c>
      <c r="F10" s="27">
        <v>11</v>
      </c>
      <c r="G10" s="39">
        <v>0</v>
      </c>
      <c r="H10" s="49" t="s">
        <v>164</v>
      </c>
      <c r="I10" s="51">
        <f>(F10/12)+(G10/24/12)</f>
        <v>0.9166666666666666</v>
      </c>
      <c r="J10" s="51">
        <f>I10*0.958333333</f>
        <v>0.8784722219166666</v>
      </c>
      <c r="K10" s="50">
        <f>(244.7529*J10)/D10</f>
        <v>2.986230887271496</v>
      </c>
      <c r="L10" s="28">
        <v>6</v>
      </c>
      <c r="M10" s="50">
        <f>K10/L10</f>
        <v>0.4977051478785827</v>
      </c>
      <c r="N10" s="28">
        <f>(D10*L10)/I10/240</f>
        <v>1.9636363636363638</v>
      </c>
      <c r="O10" s="28">
        <f>(D10*L10)/J10/240</f>
        <v>2.0490118584202097</v>
      </c>
      <c r="P10" s="53">
        <f>O10/0.244753</f>
        <v>8.371753802487445</v>
      </c>
      <c r="R10" s="30"/>
    </row>
    <row r="11" spans="1:18" ht="12.75">
      <c r="A11" s="26"/>
      <c r="B11" t="s">
        <v>165</v>
      </c>
      <c r="C11" s="52">
        <v>4</v>
      </c>
      <c r="D11" s="39">
        <v>79</v>
      </c>
      <c r="E11" s="30">
        <f>244.7529/D11</f>
        <v>3.0981379746835445</v>
      </c>
      <c r="F11" s="27">
        <v>8</v>
      </c>
      <c r="G11" s="39">
        <v>0</v>
      </c>
      <c r="H11" s="49" t="s">
        <v>164</v>
      </c>
      <c r="I11" s="51">
        <f>(F11/12)+(G11/24/12)</f>
        <v>0.6666666666666666</v>
      </c>
      <c r="J11" s="51">
        <f>I11*0.958333333</f>
        <v>0.6388888886666666</v>
      </c>
      <c r="K11" s="50">
        <f>(244.7529*J11)/D11</f>
        <v>1.9793659275815672</v>
      </c>
      <c r="L11" s="28">
        <v>4</v>
      </c>
      <c r="M11" s="50">
        <f>K11/L11</f>
        <v>0.4948414818953918</v>
      </c>
      <c r="N11" s="28">
        <f>(D11*L11)/I11/240</f>
        <v>1.975</v>
      </c>
      <c r="O11" s="28">
        <f>(D11*L11)/J11/240</f>
        <v>2.0608695659342158</v>
      </c>
      <c r="P11" s="53">
        <f>O11/0.244753</f>
        <v>8.420201451807397</v>
      </c>
      <c r="R11" s="30"/>
    </row>
    <row r="12" spans="1:18" ht="12.75">
      <c r="A12" s="26"/>
      <c r="B12" t="s">
        <v>166</v>
      </c>
      <c r="C12" s="52">
        <v>2</v>
      </c>
      <c r="D12" s="39">
        <v>79</v>
      </c>
      <c r="E12" s="30">
        <f>244.7529/D12</f>
        <v>3.0981379746835445</v>
      </c>
      <c r="F12" s="27">
        <v>4</v>
      </c>
      <c r="G12" s="39">
        <v>0</v>
      </c>
      <c r="H12" s="49" t="s">
        <v>164</v>
      </c>
      <c r="I12" s="51">
        <f>(F12/12)+(G12/24/12)</f>
        <v>0.3333333333333333</v>
      </c>
      <c r="J12" s="51">
        <f>I12*0.958333333</f>
        <v>0.3194444443333333</v>
      </c>
      <c r="K12" s="50">
        <f>(244.7529*J12)/D12</f>
        <v>0.9896829637907836</v>
      </c>
      <c r="L12" s="28">
        <v>2</v>
      </c>
      <c r="M12" s="50">
        <f>K12/L12</f>
        <v>0.4948414818953918</v>
      </c>
      <c r="N12" s="28">
        <f>(D12*L12)/I12/240</f>
        <v>1.975</v>
      </c>
      <c r="O12" s="28">
        <f>(D12*L12)/J12/240</f>
        <v>2.0608695659342158</v>
      </c>
      <c r="P12" s="53">
        <f>O12/0.244753</f>
        <v>8.420201451807397</v>
      </c>
      <c r="R12" s="30"/>
    </row>
    <row r="13" spans="1:17" ht="12.75">
      <c r="A13" s="26"/>
      <c r="E13" s="30"/>
      <c r="F13" s="27"/>
      <c r="G13" s="39"/>
      <c r="I13" s="51"/>
      <c r="J13" s="51"/>
      <c r="M13" s="50"/>
      <c r="N13" s="28"/>
      <c r="O13" s="28"/>
      <c r="Q13" s="30"/>
    </row>
    <row r="14" spans="1:18" ht="12.75">
      <c r="A14" s="26" t="s">
        <v>36</v>
      </c>
      <c r="B14" t="s">
        <v>163</v>
      </c>
      <c r="C14" s="52">
        <v>6</v>
      </c>
      <c r="D14" s="39">
        <v>72</v>
      </c>
      <c r="E14" s="30">
        <f>244.7529/D14</f>
        <v>3.3993458333333333</v>
      </c>
      <c r="F14" s="27">
        <v>11</v>
      </c>
      <c r="G14" s="39">
        <v>0</v>
      </c>
      <c r="H14" s="49" t="s">
        <v>164</v>
      </c>
      <c r="I14" s="51">
        <f>(F14/12)+(G14/24/12)</f>
        <v>0.9166666666666666</v>
      </c>
      <c r="J14" s="51">
        <f>I14*0.958333333</f>
        <v>0.8784722219166666</v>
      </c>
      <c r="K14" s="50">
        <f>(244.7529*J14)/D14</f>
        <v>2.986230887271496</v>
      </c>
      <c r="L14" s="28">
        <v>6</v>
      </c>
      <c r="M14" s="50">
        <f>K14/L14</f>
        <v>0.4977051478785827</v>
      </c>
      <c r="N14" s="28">
        <f>(D14*L14)/I14/240</f>
        <v>1.9636363636363638</v>
      </c>
      <c r="O14" s="28">
        <f>(D14*L14)/J14/240</f>
        <v>2.0490118584202097</v>
      </c>
      <c r="P14" s="53">
        <f>O14/0.244753</f>
        <v>8.371753802487445</v>
      </c>
      <c r="R14" s="30"/>
    </row>
    <row r="15" spans="1:18" ht="12.75">
      <c r="A15" s="26"/>
      <c r="B15" t="s">
        <v>165</v>
      </c>
      <c r="C15" s="52">
        <v>4</v>
      </c>
      <c r="D15" s="39">
        <v>79</v>
      </c>
      <c r="E15" s="30">
        <f>244.7529/D15</f>
        <v>3.0981379746835445</v>
      </c>
      <c r="F15" s="27">
        <v>8</v>
      </c>
      <c r="G15" s="39">
        <v>0</v>
      </c>
      <c r="H15" s="49" t="s">
        <v>164</v>
      </c>
      <c r="I15" s="51">
        <f>(F15/12)+(G15/24/12)</f>
        <v>0.6666666666666666</v>
      </c>
      <c r="J15" s="51">
        <f>I15*0.958333333</f>
        <v>0.6388888886666666</v>
      </c>
      <c r="K15" s="50">
        <f>(244.7529*J15)/D15</f>
        <v>1.9793659275815672</v>
      </c>
      <c r="L15" s="28">
        <v>4</v>
      </c>
      <c r="M15" s="50">
        <f>K15/L15</f>
        <v>0.4948414818953918</v>
      </c>
      <c r="N15" s="28">
        <f>(D15*L15)/I15/240</f>
        <v>1.975</v>
      </c>
      <c r="O15" s="28">
        <f>(D15*L15)/J15/240</f>
        <v>2.0608695659342158</v>
      </c>
      <c r="P15" s="53">
        <f>O15/0.244753</f>
        <v>8.420201451807397</v>
      </c>
      <c r="R15" s="30"/>
    </row>
    <row r="16" spans="1:18" ht="12.75">
      <c r="A16" s="26"/>
      <c r="B16" t="s">
        <v>166</v>
      </c>
      <c r="C16" s="52">
        <v>2</v>
      </c>
      <c r="D16" s="39">
        <v>80</v>
      </c>
      <c r="E16" s="30">
        <f>244.7529/D16</f>
        <v>3.05941125</v>
      </c>
      <c r="F16" s="27">
        <v>4</v>
      </c>
      <c r="G16" s="39">
        <v>0</v>
      </c>
      <c r="H16" s="49" t="s">
        <v>164</v>
      </c>
      <c r="I16" s="51">
        <f>(F16/12)+(G16/24/12)</f>
        <v>0.3333333333333333</v>
      </c>
      <c r="J16" s="51">
        <f>I16*0.958333333</f>
        <v>0.3194444443333333</v>
      </c>
      <c r="K16" s="50">
        <f>(244.7529*J16)/D16</f>
        <v>0.9773119267433987</v>
      </c>
      <c r="L16" s="28">
        <v>2</v>
      </c>
      <c r="M16" s="50">
        <f>K16/L16</f>
        <v>0.48865596337169936</v>
      </c>
      <c r="N16" s="28">
        <f>(D16*L16)/I16/240</f>
        <v>2</v>
      </c>
      <c r="O16" s="28">
        <f>(D16*L16)/J16/240</f>
        <v>2.0869565224650284</v>
      </c>
      <c r="P16" s="53">
        <f>O16/0.244753</f>
        <v>8.526786280311287</v>
      </c>
      <c r="R16" s="30"/>
    </row>
    <row r="17" spans="1:17" ht="12.75">
      <c r="A17" s="26"/>
      <c r="G17" s="39"/>
      <c r="Q17" s="30"/>
    </row>
    <row r="18" spans="1:17" ht="12.75">
      <c r="A18" s="52"/>
      <c r="C18" s="52"/>
      <c r="D18" s="39"/>
      <c r="E18" s="30"/>
      <c r="F18" s="27"/>
      <c r="G18" s="39"/>
      <c r="H18" s="49"/>
      <c r="I18" s="51"/>
      <c r="J18" s="51"/>
      <c r="K18" s="50"/>
      <c r="L18" s="28"/>
      <c r="M18" s="50"/>
      <c r="N18" s="28"/>
      <c r="O18" s="28"/>
      <c r="P18" s="53"/>
      <c r="Q18" s="30"/>
    </row>
    <row r="19" spans="1:17" ht="12.75">
      <c r="A19" s="26" t="s">
        <v>167</v>
      </c>
      <c r="B19" t="s">
        <v>168</v>
      </c>
      <c r="C19" s="37" t="s">
        <v>169</v>
      </c>
      <c r="D19" s="39">
        <v>71.25</v>
      </c>
      <c r="E19" s="30">
        <f aca="true" t="shared" si="0" ref="E19:E24">244.7529/D19</f>
        <v>3.4351284210526316</v>
      </c>
      <c r="F19" s="27">
        <v>11</v>
      </c>
      <c r="G19" s="39">
        <v>5</v>
      </c>
      <c r="H19" s="49" t="s">
        <v>164</v>
      </c>
      <c r="I19" s="51">
        <f aca="true" t="shared" si="1" ref="I19:I24">(F19/12)+(G19/24/12)</f>
        <v>0.9340277777777778</v>
      </c>
      <c r="J19" s="51">
        <f aca="true" t="shared" si="2" ref="J19:J24">I19*0.958333333</f>
        <v>0.8951099533923611</v>
      </c>
      <c r="K19" s="50">
        <f aca="true" t="shared" si="3" ref="K19:K24">(244.7529*J19)/D19</f>
        <v>3.0748176408651964</v>
      </c>
      <c r="L19" s="28">
        <v>6.5</v>
      </c>
      <c r="M19" s="50">
        <f aca="true" t="shared" si="4" ref="M19:M24">K19/L19</f>
        <v>0.47304886782541483</v>
      </c>
      <c r="N19" s="28">
        <f aca="true" t="shared" si="5" ref="N19:N24">(D19*L19)/I19/240</f>
        <v>2.065985130111524</v>
      </c>
      <c r="O19" s="28">
        <f aca="true" t="shared" si="6" ref="O19:O24">(D19*L19)/J19/240</f>
        <v>2.1558105713010027</v>
      </c>
      <c r="P19" s="53">
        <f aca="true" t="shared" si="7" ref="P19:P24">O19/0.244753</f>
        <v>8.808106831381036</v>
      </c>
      <c r="Q19" s="30"/>
    </row>
    <row r="20" spans="1:17" ht="12.75">
      <c r="A20" s="26" t="s">
        <v>39</v>
      </c>
      <c r="B20" t="s">
        <v>170</v>
      </c>
      <c r="C20" s="52" t="s">
        <v>171</v>
      </c>
      <c r="D20" s="39">
        <v>134</v>
      </c>
      <c r="E20" s="30">
        <f t="shared" si="0"/>
        <v>1.8265141791044777</v>
      </c>
      <c r="F20" s="27">
        <v>3</v>
      </c>
      <c r="G20" s="39">
        <v>6</v>
      </c>
      <c r="H20" s="49" t="s">
        <v>164</v>
      </c>
      <c r="I20" s="51">
        <f t="shared" si="1"/>
        <v>0.2708333333333333</v>
      </c>
      <c r="J20" s="51">
        <f t="shared" si="2"/>
        <v>0.2595486110208333</v>
      </c>
      <c r="K20" s="50">
        <f t="shared" si="3"/>
        <v>0.4740692181964247</v>
      </c>
      <c r="L20" s="28">
        <v>1</v>
      </c>
      <c r="M20" s="50">
        <f t="shared" si="4"/>
        <v>0.4740692181964247</v>
      </c>
      <c r="N20" s="28">
        <f t="shared" si="5"/>
        <v>2.0615384615384618</v>
      </c>
      <c r="O20" s="28">
        <f t="shared" si="6"/>
        <v>2.151170569310106</v>
      </c>
      <c r="P20" s="53">
        <f t="shared" si="7"/>
        <v>8.789148935090095</v>
      </c>
      <c r="Q20" s="30"/>
    </row>
    <row r="21" spans="1:17" ht="12.75">
      <c r="A21" s="26" t="s">
        <v>172</v>
      </c>
      <c r="B21" t="s">
        <v>173</v>
      </c>
      <c r="C21" s="37" t="s">
        <v>174</v>
      </c>
      <c r="D21" s="39">
        <v>224</v>
      </c>
      <c r="E21" s="30">
        <f t="shared" si="0"/>
        <v>1.092646875</v>
      </c>
      <c r="F21" s="27">
        <v>2</v>
      </c>
      <c r="G21" s="39">
        <v>16</v>
      </c>
      <c r="H21" s="49" t="s">
        <v>164</v>
      </c>
      <c r="I21" s="51">
        <f t="shared" si="1"/>
        <v>0.2222222222222222</v>
      </c>
      <c r="J21" s="51">
        <f t="shared" si="2"/>
        <v>0.21296296288888888</v>
      </c>
      <c r="K21" s="50">
        <f t="shared" si="3"/>
        <v>0.23269331589128542</v>
      </c>
      <c r="L21" s="28">
        <v>1</v>
      </c>
      <c r="M21" s="50">
        <f t="shared" si="4"/>
        <v>0.23269331589128542</v>
      </c>
      <c r="N21" s="28">
        <f t="shared" si="5"/>
        <v>4.2</v>
      </c>
      <c r="O21" s="28">
        <f t="shared" si="6"/>
        <v>4.38260869717656</v>
      </c>
      <c r="P21" s="53">
        <f t="shared" si="7"/>
        <v>17.906251188653705</v>
      </c>
      <c r="Q21" s="30"/>
    </row>
    <row r="22" spans="1:17" ht="12.75">
      <c r="A22" s="26" t="s">
        <v>39</v>
      </c>
      <c r="B22" t="s">
        <v>175</v>
      </c>
      <c r="C22" s="37" t="s">
        <v>176</v>
      </c>
      <c r="D22" s="39">
        <v>316</v>
      </c>
      <c r="E22" s="30">
        <f t="shared" si="0"/>
        <v>0.7745344936708861</v>
      </c>
      <c r="F22" s="27">
        <v>1</v>
      </c>
      <c r="G22" s="39">
        <v>20</v>
      </c>
      <c r="H22" s="49" t="s">
        <v>164</v>
      </c>
      <c r="I22" s="51">
        <f t="shared" si="1"/>
        <v>0.1527777777777778</v>
      </c>
      <c r="J22" s="51">
        <f t="shared" si="2"/>
        <v>0.14641203698611113</v>
      </c>
      <c r="K22" s="50">
        <f t="shared" si="3"/>
        <v>0.11340117293436064</v>
      </c>
      <c r="L22" s="28">
        <v>0.25</v>
      </c>
      <c r="M22" s="50">
        <f t="shared" si="4"/>
        <v>0.45360469173744256</v>
      </c>
      <c r="N22" s="28">
        <f t="shared" si="5"/>
        <v>2.1545454545454543</v>
      </c>
      <c r="O22" s="28">
        <f t="shared" si="6"/>
        <v>2.2482213446555073</v>
      </c>
      <c r="P22" s="53">
        <f t="shared" si="7"/>
        <v>9.185674311062611</v>
      </c>
      <c r="Q22" s="30"/>
    </row>
    <row r="23" spans="1:17" ht="12.75">
      <c r="A23" s="26" t="s">
        <v>177</v>
      </c>
      <c r="B23" t="s">
        <v>178</v>
      </c>
      <c r="C23" s="37" t="s">
        <v>179</v>
      </c>
      <c r="D23" s="39">
        <v>162</v>
      </c>
      <c r="E23" s="30">
        <f t="shared" si="0"/>
        <v>1.5108203703703704</v>
      </c>
      <c r="F23" s="27">
        <v>0</v>
      </c>
      <c r="G23" s="39">
        <v>12</v>
      </c>
      <c r="H23" s="49" t="s">
        <v>164</v>
      </c>
      <c r="I23" s="51">
        <f t="shared" si="1"/>
        <v>0.041666666666666664</v>
      </c>
      <c r="J23" s="51">
        <f t="shared" si="2"/>
        <v>0.03993055554166666</v>
      </c>
      <c r="K23" s="50">
        <f t="shared" si="3"/>
        <v>0.06032789671255548</v>
      </c>
      <c r="L23" s="28">
        <f>1/6</f>
        <v>0.16666666666666666</v>
      </c>
      <c r="M23" s="50">
        <f t="shared" si="4"/>
        <v>0.3619673802753329</v>
      </c>
      <c r="N23" s="28">
        <f t="shared" si="5"/>
        <v>2.7</v>
      </c>
      <c r="O23" s="28">
        <f t="shared" si="6"/>
        <v>2.8173913053277886</v>
      </c>
      <c r="P23" s="53">
        <f t="shared" si="7"/>
        <v>11.511161478420238</v>
      </c>
      <c r="Q23" s="30"/>
    </row>
    <row r="24" spans="1:17" ht="12.75">
      <c r="A24" s="52"/>
      <c r="B24" t="s">
        <v>180</v>
      </c>
      <c r="C24" s="37" t="s">
        <v>181</v>
      </c>
      <c r="D24" s="39">
        <v>226</v>
      </c>
      <c r="E24" s="30">
        <f t="shared" si="0"/>
        <v>1.0829774336283187</v>
      </c>
      <c r="F24" s="27">
        <v>0</v>
      </c>
      <c r="G24" s="39">
        <v>7.5</v>
      </c>
      <c r="H24" s="49" t="s">
        <v>164</v>
      </c>
      <c r="I24" s="51">
        <f t="shared" si="1"/>
        <v>0.026041666666666668</v>
      </c>
      <c r="J24" s="51">
        <f t="shared" si="2"/>
        <v>0.024956597213541667</v>
      </c>
      <c r="K24" s="50">
        <f t="shared" si="3"/>
        <v>0.027027431602417003</v>
      </c>
      <c r="L24" s="28">
        <f>1/12</f>
        <v>0.08333333333333333</v>
      </c>
      <c r="M24" s="50">
        <f t="shared" si="4"/>
        <v>0.32432917922900406</v>
      </c>
      <c r="N24" s="28">
        <f t="shared" si="5"/>
        <v>3.013333333333333</v>
      </c>
      <c r="O24" s="28">
        <f t="shared" si="6"/>
        <v>3.1443478271806424</v>
      </c>
      <c r="P24" s="53">
        <f t="shared" si="7"/>
        <v>12.84702466233567</v>
      </c>
      <c r="Q24" s="30"/>
    </row>
    <row r="25" spans="1:17" ht="12.75">
      <c r="A25" s="52"/>
      <c r="C25" s="52"/>
      <c r="D25" s="39"/>
      <c r="E25" s="30"/>
      <c r="F25" s="27"/>
      <c r="G25" s="39"/>
      <c r="H25" s="49"/>
      <c r="I25" s="51"/>
      <c r="J25" s="51"/>
      <c r="K25" s="50"/>
      <c r="L25" s="28"/>
      <c r="M25" s="50"/>
      <c r="N25" s="28"/>
      <c r="O25" s="28"/>
      <c r="P25" s="53"/>
      <c r="Q25" s="30"/>
    </row>
    <row r="26" spans="1:18" ht="12.75">
      <c r="A26" s="26" t="s">
        <v>182</v>
      </c>
      <c r="B26" t="s">
        <v>183</v>
      </c>
      <c r="C26" s="52">
        <v>6</v>
      </c>
      <c r="D26" s="39">
        <v>80</v>
      </c>
      <c r="E26" s="30">
        <f>244.7529/D26</f>
        <v>3.05941125</v>
      </c>
      <c r="F26" s="27">
        <v>11</v>
      </c>
      <c r="G26" s="39">
        <v>5</v>
      </c>
      <c r="H26" s="49" t="s">
        <v>184</v>
      </c>
      <c r="I26" s="51"/>
      <c r="J26" s="51">
        <f>(F26+(G26/24))/12</f>
        <v>0.9340277777777778</v>
      </c>
      <c r="K26" s="50">
        <f>(244.7529*J26)/D26</f>
        <v>2.8575750911458337</v>
      </c>
      <c r="L26" s="28">
        <v>6</v>
      </c>
      <c r="M26" s="50">
        <f>K26/L26</f>
        <v>0.4762625151909723</v>
      </c>
      <c r="N26" s="28"/>
      <c r="O26" s="28">
        <f>(D26*L26)/J26/240</f>
        <v>2.141263940520446</v>
      </c>
      <c r="P26" s="53">
        <f>O26/0.244753</f>
        <v>8.74867290909793</v>
      </c>
      <c r="R26" s="30"/>
    </row>
    <row r="27" spans="1:18" ht="12.75">
      <c r="A27" s="26" t="s">
        <v>39</v>
      </c>
      <c r="B27" t="s">
        <v>185</v>
      </c>
      <c r="C27" s="52">
        <v>3</v>
      </c>
      <c r="D27" s="39">
        <v>78.5</v>
      </c>
      <c r="E27" s="30">
        <f>244.7529/D27</f>
        <v>3.117871337579618</v>
      </c>
      <c r="F27" s="27">
        <v>5</v>
      </c>
      <c r="G27" s="39">
        <v>12</v>
      </c>
      <c r="H27" s="49" t="s">
        <v>184</v>
      </c>
      <c r="I27" s="51"/>
      <c r="J27" s="51">
        <f>(F27+(G27/24))/12</f>
        <v>0.4583333333333333</v>
      </c>
      <c r="K27" s="50">
        <f>(244.7529*J27)/D27</f>
        <v>1.429024363057325</v>
      </c>
      <c r="L27" s="28">
        <v>3</v>
      </c>
      <c r="M27" s="50">
        <f>K27/L27</f>
        <v>0.47634145435244163</v>
      </c>
      <c r="N27" s="28"/>
      <c r="O27" s="28">
        <f>(D27*L27)/J27/240</f>
        <v>2.140909090909091</v>
      </c>
      <c r="P27" s="53">
        <f>O27/0.244753</f>
        <v>8.74722308167455</v>
      </c>
      <c r="R27" s="30"/>
    </row>
    <row r="28" spans="1:18" ht="12.75">
      <c r="A28" s="26">
        <v>1556</v>
      </c>
      <c r="B28" t="s">
        <v>166</v>
      </c>
      <c r="C28" s="52">
        <v>2</v>
      </c>
      <c r="D28" s="39">
        <v>80</v>
      </c>
      <c r="E28" s="30">
        <f>244.7529/D28</f>
        <v>3.05941125</v>
      </c>
      <c r="F28" s="27">
        <v>3</v>
      </c>
      <c r="G28" s="39">
        <v>17</v>
      </c>
      <c r="H28" s="49" t="s">
        <v>184</v>
      </c>
      <c r="I28" s="51"/>
      <c r="J28" s="51">
        <f>(F28+(G28/24))/12</f>
        <v>0.3090277777777778</v>
      </c>
      <c r="K28" s="50">
        <f>(244.7529*J28)/D28</f>
        <v>0.9454430598958334</v>
      </c>
      <c r="L28" s="28">
        <v>2</v>
      </c>
      <c r="M28" s="50">
        <f>K28/L28</f>
        <v>0.4727215299479167</v>
      </c>
      <c r="N28" s="28"/>
      <c r="O28" s="28">
        <f>(D28*L28)/J28/240</f>
        <v>2.157303370786517</v>
      </c>
      <c r="P28" s="53">
        <f>O28/0.244753</f>
        <v>8.81420603950316</v>
      </c>
      <c r="R28" s="30"/>
    </row>
    <row r="29" spans="1:17" ht="12.75">
      <c r="A29" s="26"/>
      <c r="C29" s="52"/>
      <c r="D29" s="39"/>
      <c r="E29" s="30"/>
      <c r="F29" s="27"/>
      <c r="G29" s="39"/>
      <c r="H29" s="49"/>
      <c r="I29" s="51"/>
      <c r="J29" s="51"/>
      <c r="K29" s="50"/>
      <c r="L29" s="28"/>
      <c r="M29" s="50"/>
      <c r="N29" s="28"/>
      <c r="O29" s="28"/>
      <c r="P29" s="48"/>
      <c r="Q29" s="30"/>
    </row>
    <row r="30" spans="1:17" ht="12.75">
      <c r="A30" s="26"/>
      <c r="C30" s="52"/>
      <c r="D30" s="39"/>
      <c r="E30" s="30"/>
      <c r="F30" s="27"/>
      <c r="G30" s="39"/>
      <c r="H30" s="49"/>
      <c r="I30" s="51"/>
      <c r="J30" s="51"/>
      <c r="K30" s="50"/>
      <c r="L30" s="28"/>
      <c r="M30" s="50"/>
      <c r="N30" s="54"/>
      <c r="O30" s="54"/>
      <c r="P30" s="53"/>
      <c r="Q30" s="30"/>
    </row>
    <row r="31" spans="1:17" ht="12.75">
      <c r="A31" s="26"/>
      <c r="C31" s="52"/>
      <c r="D31" s="39"/>
      <c r="E31" s="30"/>
      <c r="F31" s="27"/>
      <c r="G31" s="39"/>
      <c r="H31" s="49"/>
      <c r="I31" s="51"/>
      <c r="J31" s="51"/>
      <c r="K31" s="50"/>
      <c r="L31" s="28"/>
      <c r="M31" s="50"/>
      <c r="N31" s="54"/>
      <c r="O31" s="54"/>
      <c r="P31" s="53"/>
      <c r="Q31" s="30"/>
    </row>
    <row r="32" spans="1:17" ht="12.75">
      <c r="A32" s="26"/>
      <c r="C32" s="52"/>
      <c r="D32" s="39"/>
      <c r="E32" s="30"/>
      <c r="F32" s="27"/>
      <c r="G32" s="39"/>
      <c r="H32" s="49"/>
      <c r="I32" s="51"/>
      <c r="J32" s="51"/>
      <c r="K32" s="50"/>
      <c r="L32" s="28"/>
      <c r="M32" s="50"/>
      <c r="N32" s="54"/>
      <c r="O32" s="54"/>
      <c r="P32" s="53"/>
      <c r="Q32" s="30"/>
    </row>
    <row r="33" spans="1:17" ht="12.75">
      <c r="A33" s="26" t="s">
        <v>42</v>
      </c>
      <c r="B33" s="31" t="s">
        <v>43</v>
      </c>
      <c r="C33" s="26"/>
      <c r="D33" s="28"/>
      <c r="E33" s="30"/>
      <c r="F33" s="27"/>
      <c r="G33" s="27"/>
      <c r="H33" s="49"/>
      <c r="I33" s="51"/>
      <c r="J33" s="51"/>
      <c r="Q33" s="30"/>
    </row>
    <row r="34" spans="1:17" ht="12.75">
      <c r="A34" s="52"/>
      <c r="C34" s="52"/>
      <c r="D34" s="28"/>
      <c r="E34" s="30"/>
      <c r="F34" s="27"/>
      <c r="G34" s="27"/>
      <c r="H34" s="49"/>
      <c r="I34" s="51"/>
      <c r="J34" s="51"/>
      <c r="Q34" s="30"/>
    </row>
    <row r="35" spans="1:17" ht="12.75">
      <c r="A35" s="52"/>
      <c r="C35" s="52"/>
      <c r="D35" s="28"/>
      <c r="E35" s="30"/>
      <c r="F35" s="27"/>
      <c r="G35" s="27"/>
      <c r="H35" s="49"/>
      <c r="I35" s="51"/>
      <c r="J35" s="51"/>
      <c r="Q35" s="30"/>
    </row>
    <row r="36" spans="1:17" ht="12.75">
      <c r="A36" s="40" t="s">
        <v>4</v>
      </c>
      <c r="B36" s="40" t="s">
        <v>5</v>
      </c>
      <c r="C36" s="26" t="s">
        <v>13</v>
      </c>
      <c r="D36" s="46" t="s">
        <v>145</v>
      </c>
      <c r="E36" s="46" t="s">
        <v>10</v>
      </c>
      <c r="F36" s="40" t="s">
        <v>146</v>
      </c>
      <c r="G36" s="40" t="s">
        <v>146</v>
      </c>
      <c r="H36" s="26" t="s">
        <v>147</v>
      </c>
      <c r="I36" s="45" t="s">
        <v>8</v>
      </c>
      <c r="J36" s="45" t="s">
        <v>8</v>
      </c>
      <c r="K36" s="46" t="s">
        <v>65</v>
      </c>
      <c r="L36" s="46" t="s">
        <v>149</v>
      </c>
      <c r="M36" s="46" t="s">
        <v>150</v>
      </c>
      <c r="N36" s="46" t="s">
        <v>150</v>
      </c>
      <c r="O36" s="48" t="s">
        <v>151</v>
      </c>
      <c r="P36" s="48" t="s">
        <v>151</v>
      </c>
      <c r="Q36" s="30"/>
    </row>
    <row r="37" spans="1:17" ht="12.75">
      <c r="A37" s="40"/>
      <c r="B37" s="40"/>
      <c r="C37" s="26" t="s">
        <v>186</v>
      </c>
      <c r="D37" s="46" t="s">
        <v>133</v>
      </c>
      <c r="E37" s="46" t="s">
        <v>133</v>
      </c>
      <c r="F37" s="40" t="s">
        <v>153</v>
      </c>
      <c r="G37" s="40" t="s">
        <v>133</v>
      </c>
      <c r="H37" s="26"/>
      <c r="I37" s="45" t="s">
        <v>187</v>
      </c>
      <c r="J37" s="45" t="s">
        <v>155</v>
      </c>
      <c r="K37" s="46" t="s">
        <v>133</v>
      </c>
      <c r="L37" s="46" t="s">
        <v>188</v>
      </c>
      <c r="M37" s="46" t="s">
        <v>157</v>
      </c>
      <c r="N37" s="46" t="s">
        <v>158</v>
      </c>
      <c r="O37" s="48" t="s">
        <v>159</v>
      </c>
      <c r="P37" s="48" t="s">
        <v>159</v>
      </c>
      <c r="Q37" s="30"/>
    </row>
    <row r="38" spans="1:17" ht="12.75">
      <c r="A38" s="40"/>
      <c r="B38" s="54"/>
      <c r="D38" s="46" t="s">
        <v>189</v>
      </c>
      <c r="E38" s="28"/>
      <c r="F38" s="54"/>
      <c r="G38" s="54"/>
      <c r="H38" s="52"/>
      <c r="I38" s="51"/>
      <c r="J38" s="51"/>
      <c r="K38" s="28"/>
      <c r="L38" s="28"/>
      <c r="M38" s="46" t="s">
        <v>126</v>
      </c>
      <c r="N38" s="46" t="s">
        <v>162</v>
      </c>
      <c r="O38" s="48" t="s">
        <v>126</v>
      </c>
      <c r="P38" s="48" t="s">
        <v>126</v>
      </c>
      <c r="Q38" s="30"/>
    </row>
    <row r="39" spans="1:17" ht="12.75">
      <c r="A39" s="52"/>
      <c r="C39" s="52"/>
      <c r="D39" s="28"/>
      <c r="E39" s="30"/>
      <c r="F39" s="27"/>
      <c r="G39" s="27"/>
      <c r="H39" s="49"/>
      <c r="I39" s="51"/>
      <c r="J39" s="51"/>
      <c r="Q39" s="30"/>
    </row>
    <row r="40" spans="1:17" ht="12.75">
      <c r="A40" s="40" t="s">
        <v>190</v>
      </c>
      <c r="B40" t="s">
        <v>191</v>
      </c>
      <c r="C40" s="37">
        <v>12</v>
      </c>
      <c r="D40" s="28">
        <v>86</v>
      </c>
      <c r="E40" s="28">
        <f aca="true" t="shared" si="8" ref="E40:E55">244.7529/D40</f>
        <v>2.845963953488372</v>
      </c>
      <c r="F40">
        <v>4</v>
      </c>
      <c r="G40">
        <v>12</v>
      </c>
      <c r="H40" s="37" t="s">
        <v>164</v>
      </c>
      <c r="I40" s="51">
        <f aca="true" t="shared" si="9" ref="I40:I55">(F40/12)+(G40/24/12)</f>
        <v>0.375</v>
      </c>
      <c r="J40" s="51">
        <f aca="true" t="shared" si="10" ref="J40:J55">I40*(23/24)</f>
        <v>0.359375</v>
      </c>
      <c r="K40" s="28">
        <f aca="true" t="shared" si="11" ref="K40:K55">(244.7529/D40)*J40</f>
        <v>1.0227682957848838</v>
      </c>
      <c r="L40" s="28">
        <f aca="true" t="shared" si="12" ref="L40:L55">K40/C40</f>
        <v>0.08523069131540699</v>
      </c>
      <c r="M40" s="28">
        <f aca="true" t="shared" si="13" ref="M40:M55">(D40*C40/240)/I40</f>
        <v>11.466666666666667</v>
      </c>
      <c r="N40" s="28">
        <f aca="true" t="shared" si="14" ref="N40:N55">(C40*D40/240)/J40</f>
        <v>11.965217391304348</v>
      </c>
      <c r="O40" s="53">
        <f aca="true" t="shared" si="15" ref="O40:O55">M40/0.2447529*(24/23)</f>
        <v>48.88692796409909</v>
      </c>
      <c r="P40" s="35">
        <f aca="true" t="shared" si="16" ref="P40:P55">N40/0.2447529</f>
        <v>48.88692796409909</v>
      </c>
      <c r="Q40" s="30"/>
    </row>
    <row r="41" spans="1:17" ht="12.75">
      <c r="A41" s="40" t="s">
        <v>192</v>
      </c>
      <c r="B41" t="s">
        <v>193</v>
      </c>
      <c r="C41" s="37">
        <v>10</v>
      </c>
      <c r="D41" s="28">
        <v>92</v>
      </c>
      <c r="E41" s="28">
        <f t="shared" si="8"/>
        <v>2.6603576086956524</v>
      </c>
      <c r="F41">
        <v>4</v>
      </c>
      <c r="G41">
        <v>0</v>
      </c>
      <c r="H41" s="37" t="s">
        <v>164</v>
      </c>
      <c r="I41" s="51">
        <f t="shared" si="9"/>
        <v>0.3333333333333333</v>
      </c>
      <c r="J41" s="51">
        <f t="shared" si="10"/>
        <v>0.3194444444444444</v>
      </c>
      <c r="K41" s="28">
        <f t="shared" si="11"/>
        <v>0.8498364583333333</v>
      </c>
      <c r="L41" s="28">
        <f t="shared" si="12"/>
        <v>0.08498364583333333</v>
      </c>
      <c r="M41" s="28">
        <f t="shared" si="13"/>
        <v>11.500000000000002</v>
      </c>
      <c r="N41" s="28">
        <f t="shared" si="14"/>
        <v>12.000000000000002</v>
      </c>
      <c r="O41" s="53">
        <f t="shared" si="15"/>
        <v>49.02904112678543</v>
      </c>
      <c r="P41" s="35">
        <f t="shared" si="16"/>
        <v>49.02904112678543</v>
      </c>
      <c r="Q41" s="30"/>
    </row>
    <row r="42" spans="1:17" ht="12.75">
      <c r="A42" s="40" t="s">
        <v>194</v>
      </c>
      <c r="B42" t="s">
        <v>195</v>
      </c>
      <c r="C42" s="37">
        <v>36</v>
      </c>
      <c r="D42" s="28">
        <v>69</v>
      </c>
      <c r="E42" s="28">
        <f t="shared" si="8"/>
        <v>3.5471434782608697</v>
      </c>
      <c r="F42">
        <v>11</v>
      </c>
      <c r="G42">
        <v>12</v>
      </c>
      <c r="H42" s="37" t="s">
        <v>164</v>
      </c>
      <c r="I42" s="51">
        <f t="shared" si="9"/>
        <v>0.9583333333333333</v>
      </c>
      <c r="J42" s="51">
        <f t="shared" si="10"/>
        <v>0.9184027777777778</v>
      </c>
      <c r="K42" s="28">
        <f t="shared" si="11"/>
        <v>3.2577064236111113</v>
      </c>
      <c r="L42" s="28">
        <f t="shared" si="12"/>
        <v>0.09049184510030865</v>
      </c>
      <c r="M42" s="28">
        <f t="shared" si="13"/>
        <v>10.8</v>
      </c>
      <c r="N42" s="28">
        <f t="shared" si="14"/>
        <v>11.269565217391303</v>
      </c>
      <c r="O42" s="53">
        <f t="shared" si="15"/>
        <v>46.0446647103724</v>
      </c>
      <c r="P42" s="35">
        <f t="shared" si="16"/>
        <v>46.044664710372395</v>
      </c>
      <c r="Q42" s="30"/>
    </row>
    <row r="43" spans="1:17" ht="12.75">
      <c r="A43" s="40" t="s">
        <v>196</v>
      </c>
      <c r="B43" t="s">
        <v>191</v>
      </c>
      <c r="C43" s="37">
        <v>12</v>
      </c>
      <c r="D43" s="28">
        <v>86</v>
      </c>
      <c r="E43" s="28">
        <f t="shared" si="8"/>
        <v>2.845963953488372</v>
      </c>
      <c r="F43">
        <v>4</v>
      </c>
      <c r="G43">
        <v>12</v>
      </c>
      <c r="H43" s="37" t="s">
        <v>164</v>
      </c>
      <c r="I43" s="51">
        <f t="shared" si="9"/>
        <v>0.375</v>
      </c>
      <c r="J43" s="51">
        <f t="shared" si="10"/>
        <v>0.359375</v>
      </c>
      <c r="K43" s="28">
        <f t="shared" si="11"/>
        <v>1.0227682957848838</v>
      </c>
      <c r="L43" s="28">
        <f t="shared" si="12"/>
        <v>0.08523069131540699</v>
      </c>
      <c r="M43" s="28">
        <f t="shared" si="13"/>
        <v>11.466666666666667</v>
      </c>
      <c r="N43" s="28">
        <f t="shared" si="14"/>
        <v>11.965217391304348</v>
      </c>
      <c r="O43" s="53">
        <f t="shared" si="15"/>
        <v>48.88692796409909</v>
      </c>
      <c r="P43" s="35">
        <f t="shared" si="16"/>
        <v>48.88692796409909</v>
      </c>
      <c r="Q43" s="30"/>
    </row>
    <row r="44" spans="1:17" ht="12.75">
      <c r="A44" s="40" t="s">
        <v>197</v>
      </c>
      <c r="B44" t="s">
        <v>198</v>
      </c>
      <c r="C44" s="37">
        <v>12</v>
      </c>
      <c r="D44" s="28">
        <v>86</v>
      </c>
      <c r="E44" s="28">
        <f t="shared" si="8"/>
        <v>2.845963953488372</v>
      </c>
      <c r="F44">
        <v>4</v>
      </c>
      <c r="G44">
        <v>12</v>
      </c>
      <c r="H44" s="37" t="s">
        <v>164</v>
      </c>
      <c r="I44" s="51">
        <f t="shared" si="9"/>
        <v>0.375</v>
      </c>
      <c r="J44" s="51">
        <f t="shared" si="10"/>
        <v>0.359375</v>
      </c>
      <c r="K44" s="28">
        <f t="shared" si="11"/>
        <v>1.0227682957848838</v>
      </c>
      <c r="L44" s="28">
        <f t="shared" si="12"/>
        <v>0.08523069131540699</v>
      </c>
      <c r="M44" s="28">
        <f t="shared" si="13"/>
        <v>11.466666666666667</v>
      </c>
      <c r="N44" s="28">
        <f t="shared" si="14"/>
        <v>11.965217391304348</v>
      </c>
      <c r="O44" s="53">
        <f t="shared" si="15"/>
        <v>48.88692796409909</v>
      </c>
      <c r="P44" s="35">
        <f t="shared" si="16"/>
        <v>48.88692796409909</v>
      </c>
      <c r="Q44" s="30"/>
    </row>
    <row r="45" spans="1:17" ht="12.75">
      <c r="A45" s="40" t="s">
        <v>199</v>
      </c>
      <c r="B45" t="s">
        <v>200</v>
      </c>
      <c r="C45" s="37">
        <v>30</v>
      </c>
      <c r="D45" s="28">
        <v>45</v>
      </c>
      <c r="E45" s="28">
        <f t="shared" si="8"/>
        <v>5.438953333333334</v>
      </c>
      <c r="F45">
        <v>6</v>
      </c>
      <c r="G45">
        <v>0</v>
      </c>
      <c r="H45" s="37" t="s">
        <v>164</v>
      </c>
      <c r="I45" s="51">
        <f t="shared" si="9"/>
        <v>0.5</v>
      </c>
      <c r="J45" s="51">
        <f t="shared" si="10"/>
        <v>0.4791666666666667</v>
      </c>
      <c r="K45" s="28">
        <f t="shared" si="11"/>
        <v>2.606165138888889</v>
      </c>
      <c r="L45" s="28">
        <f t="shared" si="12"/>
        <v>0.0868721712962963</v>
      </c>
      <c r="M45" s="28">
        <f t="shared" si="13"/>
        <v>11.25</v>
      </c>
      <c r="N45" s="28">
        <f t="shared" si="14"/>
        <v>11.739130434782608</v>
      </c>
      <c r="O45" s="53">
        <f t="shared" si="15"/>
        <v>47.963192406637916</v>
      </c>
      <c r="P45" s="35">
        <f t="shared" si="16"/>
        <v>47.96319240663791</v>
      </c>
      <c r="Q45" s="30"/>
    </row>
    <row r="46" spans="1:17" ht="12.75">
      <c r="A46" s="40" t="s">
        <v>199</v>
      </c>
      <c r="B46" t="s">
        <v>201</v>
      </c>
      <c r="C46" s="37">
        <v>15</v>
      </c>
      <c r="D46" s="28">
        <v>68</v>
      </c>
      <c r="E46" s="28">
        <f t="shared" si="8"/>
        <v>3.5993073529411768</v>
      </c>
      <c r="F46">
        <v>4</v>
      </c>
      <c r="G46">
        <v>12</v>
      </c>
      <c r="H46" s="37" t="s">
        <v>164</v>
      </c>
      <c r="I46" s="51">
        <f t="shared" si="9"/>
        <v>0.375</v>
      </c>
      <c r="J46" s="51">
        <f t="shared" si="10"/>
        <v>0.359375</v>
      </c>
      <c r="K46" s="28">
        <f t="shared" si="11"/>
        <v>1.2935010799632354</v>
      </c>
      <c r="L46" s="28">
        <f t="shared" si="12"/>
        <v>0.08623340533088236</v>
      </c>
      <c r="M46" s="28">
        <f t="shared" si="13"/>
        <v>11.333333333333334</v>
      </c>
      <c r="N46" s="28">
        <f t="shared" si="14"/>
        <v>11.826086956521738</v>
      </c>
      <c r="O46" s="53">
        <f t="shared" si="15"/>
        <v>48.31847531335375</v>
      </c>
      <c r="P46" s="35">
        <f t="shared" si="16"/>
        <v>48.31847531335375</v>
      </c>
      <c r="Q46" s="30"/>
    </row>
    <row r="47" spans="1:17" ht="12.75">
      <c r="A47" s="40" t="s">
        <v>199</v>
      </c>
      <c r="B47" t="s">
        <v>202</v>
      </c>
      <c r="C47" s="37">
        <v>10</v>
      </c>
      <c r="D47" s="28">
        <v>92</v>
      </c>
      <c r="E47" s="28">
        <f t="shared" si="8"/>
        <v>2.6603576086956524</v>
      </c>
      <c r="F47">
        <v>4</v>
      </c>
      <c r="G47">
        <v>0</v>
      </c>
      <c r="H47" s="37" t="s">
        <v>164</v>
      </c>
      <c r="I47" s="51">
        <f t="shared" si="9"/>
        <v>0.3333333333333333</v>
      </c>
      <c r="J47" s="51">
        <f t="shared" si="10"/>
        <v>0.3194444444444444</v>
      </c>
      <c r="K47" s="28">
        <f t="shared" si="11"/>
        <v>0.8498364583333333</v>
      </c>
      <c r="L47" s="28">
        <f t="shared" si="12"/>
        <v>0.08498364583333333</v>
      </c>
      <c r="M47" s="28">
        <f t="shared" si="13"/>
        <v>11.500000000000002</v>
      </c>
      <c r="N47" s="28">
        <f t="shared" si="14"/>
        <v>12.000000000000002</v>
      </c>
      <c r="O47" s="53">
        <f t="shared" si="15"/>
        <v>49.02904112678543</v>
      </c>
      <c r="P47" s="35">
        <f t="shared" si="16"/>
        <v>49.02904112678543</v>
      </c>
      <c r="Q47" s="30"/>
    </row>
    <row r="48" spans="1:17" ht="12.75">
      <c r="A48" s="40" t="s">
        <v>203</v>
      </c>
      <c r="B48" t="s">
        <v>204</v>
      </c>
      <c r="C48" s="37">
        <v>120</v>
      </c>
      <c r="D48" s="28">
        <v>25.5</v>
      </c>
      <c r="E48" s="28">
        <f t="shared" si="8"/>
        <v>9.59815294117647</v>
      </c>
      <c r="F48">
        <v>11</v>
      </c>
      <c r="G48">
        <v>18</v>
      </c>
      <c r="H48" s="37" t="s">
        <v>164</v>
      </c>
      <c r="I48" s="51">
        <f t="shared" si="9"/>
        <v>0.9791666666666666</v>
      </c>
      <c r="J48" s="51">
        <f t="shared" si="10"/>
        <v>0.9383680555555556</v>
      </c>
      <c r="K48" s="28">
        <f t="shared" si="11"/>
        <v>9.006600112336601</v>
      </c>
      <c r="L48" s="28">
        <f t="shared" si="12"/>
        <v>0.07505500093613834</v>
      </c>
      <c r="M48" s="28">
        <f t="shared" si="13"/>
        <v>13.02127659574468</v>
      </c>
      <c r="N48" s="28">
        <f t="shared" si="14"/>
        <v>13.587419056429232</v>
      </c>
      <c r="O48" s="53">
        <f t="shared" si="15"/>
        <v>55.51484397704473</v>
      </c>
      <c r="P48" s="35">
        <f t="shared" si="16"/>
        <v>55.514843977044734</v>
      </c>
      <c r="Q48" s="30"/>
    </row>
    <row r="49" spans="1:17" ht="12.75">
      <c r="A49" s="40" t="s">
        <v>205</v>
      </c>
      <c r="B49" t="s">
        <v>204</v>
      </c>
      <c r="C49" s="37">
        <v>120</v>
      </c>
      <c r="D49" s="28">
        <v>25.5</v>
      </c>
      <c r="E49" s="28">
        <f t="shared" si="8"/>
        <v>9.59815294117647</v>
      </c>
      <c r="F49">
        <v>11</v>
      </c>
      <c r="G49">
        <v>18</v>
      </c>
      <c r="H49" s="37" t="s">
        <v>164</v>
      </c>
      <c r="I49" s="51">
        <f t="shared" si="9"/>
        <v>0.9791666666666666</v>
      </c>
      <c r="J49" s="51">
        <f t="shared" si="10"/>
        <v>0.9383680555555556</v>
      </c>
      <c r="K49" s="28">
        <f t="shared" si="11"/>
        <v>9.006600112336601</v>
      </c>
      <c r="L49" s="28">
        <f t="shared" si="12"/>
        <v>0.07505500093613834</v>
      </c>
      <c r="M49" s="28">
        <f t="shared" si="13"/>
        <v>13.02127659574468</v>
      </c>
      <c r="N49" s="28">
        <f t="shared" si="14"/>
        <v>13.587419056429232</v>
      </c>
      <c r="O49" s="53">
        <f t="shared" si="15"/>
        <v>55.51484397704473</v>
      </c>
      <c r="P49" s="35">
        <f t="shared" si="16"/>
        <v>55.514843977044734</v>
      </c>
      <c r="Q49" s="30"/>
    </row>
    <row r="50" spans="1:17" ht="12.75">
      <c r="A50" s="40" t="s">
        <v>205</v>
      </c>
      <c r="B50" t="s">
        <v>191</v>
      </c>
      <c r="C50" s="37">
        <v>12</v>
      </c>
      <c r="D50" s="28">
        <v>86</v>
      </c>
      <c r="E50" s="28">
        <f t="shared" si="8"/>
        <v>2.845963953488372</v>
      </c>
      <c r="F50">
        <v>4</v>
      </c>
      <c r="G50">
        <v>12</v>
      </c>
      <c r="H50" s="37" t="s">
        <v>164</v>
      </c>
      <c r="I50" s="51">
        <f t="shared" si="9"/>
        <v>0.375</v>
      </c>
      <c r="J50" s="51">
        <f t="shared" si="10"/>
        <v>0.359375</v>
      </c>
      <c r="K50" s="28">
        <f t="shared" si="11"/>
        <v>1.0227682957848838</v>
      </c>
      <c r="L50" s="28">
        <f t="shared" si="12"/>
        <v>0.08523069131540699</v>
      </c>
      <c r="M50" s="28">
        <f t="shared" si="13"/>
        <v>11.466666666666667</v>
      </c>
      <c r="N50" s="28">
        <f t="shared" si="14"/>
        <v>11.965217391304348</v>
      </c>
      <c r="O50" s="53">
        <f t="shared" si="15"/>
        <v>48.88692796409909</v>
      </c>
      <c r="P50" s="35">
        <f t="shared" si="16"/>
        <v>48.88692796409909</v>
      </c>
      <c r="Q50" s="30"/>
    </row>
    <row r="51" spans="1:21" ht="12.75">
      <c r="A51" s="40" t="s">
        <v>206</v>
      </c>
      <c r="B51" t="s">
        <v>191</v>
      </c>
      <c r="C51" s="37">
        <v>12</v>
      </c>
      <c r="D51" s="28">
        <v>92</v>
      </c>
      <c r="E51" s="28">
        <f t="shared" si="8"/>
        <v>2.6603576086956524</v>
      </c>
      <c r="F51">
        <v>4</v>
      </c>
      <c r="G51">
        <v>6</v>
      </c>
      <c r="H51" s="37" t="s">
        <v>164</v>
      </c>
      <c r="I51" s="51">
        <f t="shared" si="9"/>
        <v>0.35416666666666663</v>
      </c>
      <c r="J51" s="51">
        <f t="shared" si="10"/>
        <v>0.3394097222222222</v>
      </c>
      <c r="K51" s="28">
        <f t="shared" si="11"/>
        <v>0.9029512369791667</v>
      </c>
      <c r="L51" s="28">
        <f t="shared" si="12"/>
        <v>0.07524593641493056</v>
      </c>
      <c r="M51" s="28">
        <f t="shared" si="13"/>
        <v>12.988235294117647</v>
      </c>
      <c r="N51" s="28">
        <f t="shared" si="14"/>
        <v>13.552941176470588</v>
      </c>
      <c r="O51" s="53">
        <f t="shared" si="15"/>
        <v>55.373975860840005</v>
      </c>
      <c r="P51" s="35">
        <f t="shared" si="16"/>
        <v>55.373975860840005</v>
      </c>
      <c r="Q51" s="30"/>
      <c r="S51" s="53">
        <v>55.373975860840005</v>
      </c>
      <c r="T51" s="28">
        <v>5.792922574855527</v>
      </c>
      <c r="U51">
        <f>S51/T51</f>
        <v>9.55890142588709</v>
      </c>
    </row>
    <row r="52" spans="1:17" ht="12.75">
      <c r="A52" s="40" t="s">
        <v>206</v>
      </c>
      <c r="B52" t="s">
        <v>207</v>
      </c>
      <c r="C52" s="37">
        <v>10</v>
      </c>
      <c r="D52" s="28">
        <v>98</v>
      </c>
      <c r="E52" s="28">
        <f t="shared" si="8"/>
        <v>2.4974785714285717</v>
      </c>
      <c r="F52">
        <v>3</v>
      </c>
      <c r="G52">
        <v>18</v>
      </c>
      <c r="H52" s="37" t="s">
        <v>164</v>
      </c>
      <c r="I52" s="51">
        <f t="shared" si="9"/>
        <v>0.3125</v>
      </c>
      <c r="J52" s="51">
        <f t="shared" si="10"/>
        <v>0.2994791666666667</v>
      </c>
      <c r="K52" s="28">
        <f t="shared" si="11"/>
        <v>0.7479428013392858</v>
      </c>
      <c r="L52" s="28">
        <f t="shared" si="12"/>
        <v>0.07479428013392858</v>
      </c>
      <c r="M52" s="28">
        <f t="shared" si="13"/>
        <v>13.066666666666666</v>
      </c>
      <c r="N52" s="28">
        <f t="shared" si="14"/>
        <v>13.63478260869565</v>
      </c>
      <c r="O52" s="53">
        <f t="shared" si="15"/>
        <v>55.70835977304315</v>
      </c>
      <c r="P52" s="35">
        <f t="shared" si="16"/>
        <v>55.70835977304314</v>
      </c>
      <c r="Q52" s="30"/>
    </row>
    <row r="53" spans="1:17" ht="12.75">
      <c r="A53" s="40" t="s">
        <v>208</v>
      </c>
      <c r="B53" t="s">
        <v>204</v>
      </c>
      <c r="C53" s="37">
        <v>120</v>
      </c>
      <c r="D53" s="28">
        <v>25.5</v>
      </c>
      <c r="E53" s="28">
        <f t="shared" si="8"/>
        <v>9.59815294117647</v>
      </c>
      <c r="F53">
        <v>11</v>
      </c>
      <c r="G53">
        <v>6</v>
      </c>
      <c r="H53" s="37" t="s">
        <v>164</v>
      </c>
      <c r="I53" s="51">
        <f t="shared" si="9"/>
        <v>0.9375</v>
      </c>
      <c r="J53" s="51">
        <f t="shared" si="10"/>
        <v>0.8984375</v>
      </c>
      <c r="K53" s="28">
        <f t="shared" si="11"/>
        <v>8.623340533088236</v>
      </c>
      <c r="L53" s="28">
        <f t="shared" si="12"/>
        <v>0.07186117110906863</v>
      </c>
      <c r="M53" s="28">
        <f t="shared" si="13"/>
        <v>13.6</v>
      </c>
      <c r="N53" s="28">
        <f t="shared" si="14"/>
        <v>14.191304347826087</v>
      </c>
      <c r="O53" s="53">
        <f t="shared" si="15"/>
        <v>57.9821703760245</v>
      </c>
      <c r="P53" s="35">
        <f t="shared" si="16"/>
        <v>57.9821703760245</v>
      </c>
      <c r="Q53" s="30"/>
    </row>
    <row r="54" spans="1:17" ht="12.75">
      <c r="A54" s="40" t="s">
        <v>209</v>
      </c>
      <c r="B54" t="s">
        <v>210</v>
      </c>
      <c r="C54" s="37">
        <v>12</v>
      </c>
      <c r="D54" s="28">
        <v>92</v>
      </c>
      <c r="E54" s="28">
        <f t="shared" si="8"/>
        <v>2.6603576086956524</v>
      </c>
      <c r="F54">
        <v>4</v>
      </c>
      <c r="G54">
        <v>4</v>
      </c>
      <c r="H54" s="37" t="s">
        <v>164</v>
      </c>
      <c r="I54" s="51">
        <f t="shared" si="9"/>
        <v>0.3472222222222222</v>
      </c>
      <c r="J54" s="51">
        <f t="shared" si="10"/>
        <v>0.33275462962962965</v>
      </c>
      <c r="K54" s="28">
        <f t="shared" si="11"/>
        <v>0.885246310763889</v>
      </c>
      <c r="L54" s="28">
        <f t="shared" si="12"/>
        <v>0.07377052589699075</v>
      </c>
      <c r="M54" s="28">
        <f t="shared" si="13"/>
        <v>13.248</v>
      </c>
      <c r="N54" s="28">
        <f t="shared" si="14"/>
        <v>13.823999999999998</v>
      </c>
      <c r="O54" s="53">
        <f t="shared" si="15"/>
        <v>56.4814553780568</v>
      </c>
      <c r="P54" s="35">
        <f t="shared" si="16"/>
        <v>56.4814553780568</v>
      </c>
      <c r="Q54" s="30"/>
    </row>
    <row r="55" spans="1:17" ht="12.75">
      <c r="A55" s="40" t="s">
        <v>211</v>
      </c>
      <c r="B55" t="s">
        <v>212</v>
      </c>
      <c r="C55" s="37">
        <v>12</v>
      </c>
      <c r="D55" s="28">
        <v>91</v>
      </c>
      <c r="E55" s="28">
        <f t="shared" si="8"/>
        <v>2.689592307692308</v>
      </c>
      <c r="F55">
        <v>3</v>
      </c>
      <c r="G55">
        <v>16</v>
      </c>
      <c r="H55" s="37" t="s">
        <v>164</v>
      </c>
      <c r="I55" s="51">
        <f t="shared" si="9"/>
        <v>0.3055555555555556</v>
      </c>
      <c r="J55" s="51">
        <f t="shared" si="10"/>
        <v>0.2928240740740741</v>
      </c>
      <c r="K55" s="28">
        <f t="shared" si="11"/>
        <v>0.7875773771367524</v>
      </c>
      <c r="L55" s="28">
        <f t="shared" si="12"/>
        <v>0.06563144809472936</v>
      </c>
      <c r="M55" s="28">
        <f t="shared" si="13"/>
        <v>14.890909090909089</v>
      </c>
      <c r="N55" s="28">
        <f t="shared" si="14"/>
        <v>15.538339920948614</v>
      </c>
      <c r="O55" s="53">
        <f t="shared" si="15"/>
        <v>63.48582558551345</v>
      </c>
      <c r="P55" s="35">
        <f t="shared" si="16"/>
        <v>63.485825585513446</v>
      </c>
      <c r="Q55" s="30"/>
    </row>
    <row r="56" spans="5:17" ht="12.75">
      <c r="E56" s="35"/>
      <c r="I56" s="55"/>
      <c r="J56" s="55"/>
      <c r="Q56" s="30"/>
    </row>
    <row r="57" spans="5:17" ht="12.75">
      <c r="E57" s="35"/>
      <c r="I57" s="55"/>
      <c r="J57" s="55"/>
      <c r="Q57" s="30"/>
    </row>
    <row r="58" spans="5:17" ht="12.75">
      <c r="E58" s="35"/>
      <c r="I58" s="55"/>
      <c r="J58" s="55"/>
      <c r="Q58" s="30"/>
    </row>
    <row r="59" spans="1:17" ht="12.75">
      <c r="A59" s="26" t="s">
        <v>58</v>
      </c>
      <c r="B59" s="31" t="s">
        <v>59</v>
      </c>
      <c r="C59" s="26"/>
      <c r="D59" s="28"/>
      <c r="E59" s="30"/>
      <c r="F59" s="27"/>
      <c r="G59" s="27"/>
      <c r="H59" s="49"/>
      <c r="I59" s="51"/>
      <c r="J59" s="51"/>
      <c r="Q59" s="30"/>
    </row>
    <row r="60" spans="1:17" ht="12.75">
      <c r="A60" s="52"/>
      <c r="C60" s="52"/>
      <c r="D60" s="28"/>
      <c r="E60" s="30"/>
      <c r="F60" s="27"/>
      <c r="G60" s="27"/>
      <c r="H60" s="49"/>
      <c r="I60" s="51"/>
      <c r="J60" s="51"/>
      <c r="Q60" s="30"/>
    </row>
    <row r="62" spans="1:20" ht="12.75">
      <c r="A62" s="38" t="s">
        <v>4</v>
      </c>
      <c r="B62" s="38" t="s">
        <v>5</v>
      </c>
      <c r="C62" s="26" t="s">
        <v>213</v>
      </c>
      <c r="D62" s="46" t="s">
        <v>214</v>
      </c>
      <c r="E62" s="41" t="s">
        <v>214</v>
      </c>
      <c r="F62" s="56" t="s">
        <v>215</v>
      </c>
      <c r="G62" s="56" t="s">
        <v>216</v>
      </c>
      <c r="H62" s="57" t="s">
        <v>62</v>
      </c>
      <c r="I62" s="41" t="s">
        <v>214</v>
      </c>
      <c r="J62" s="46" t="s">
        <v>214</v>
      </c>
      <c r="K62" s="46" t="s">
        <v>217</v>
      </c>
      <c r="L62" s="46" t="s">
        <v>10</v>
      </c>
      <c r="M62" s="46" t="s">
        <v>65</v>
      </c>
      <c r="N62" s="46" t="s">
        <v>213</v>
      </c>
      <c r="O62" s="40" t="s">
        <v>213</v>
      </c>
      <c r="P62" s="40" t="s">
        <v>213</v>
      </c>
      <c r="Q62" s="40" t="s">
        <v>213</v>
      </c>
      <c r="R62" s="40" t="s">
        <v>213</v>
      </c>
      <c r="S62" s="40" t="s">
        <v>213</v>
      </c>
      <c r="T62" s="46" t="s">
        <v>213</v>
      </c>
    </row>
    <row r="63" spans="1:20" ht="12.75">
      <c r="A63" s="38"/>
      <c r="B63" s="58"/>
      <c r="C63" s="26" t="s">
        <v>218</v>
      </c>
      <c r="D63" s="46" t="s">
        <v>219</v>
      </c>
      <c r="E63" s="41" t="s">
        <v>220</v>
      </c>
      <c r="F63" s="59" t="s">
        <v>221</v>
      </c>
      <c r="G63" s="59" t="s">
        <v>222</v>
      </c>
      <c r="H63" s="57" t="s">
        <v>60</v>
      </c>
      <c r="I63" s="41" t="s">
        <v>219</v>
      </c>
      <c r="J63" s="46" t="s">
        <v>220</v>
      </c>
      <c r="K63" s="46" t="s">
        <v>223</v>
      </c>
      <c r="L63" s="46" t="s">
        <v>224</v>
      </c>
      <c r="M63" s="46" t="s">
        <v>133</v>
      </c>
      <c r="N63" s="46" t="s">
        <v>225</v>
      </c>
      <c r="O63" s="40" t="s">
        <v>225</v>
      </c>
      <c r="P63" s="40" t="s">
        <v>225</v>
      </c>
      <c r="Q63" s="40" t="s">
        <v>226</v>
      </c>
      <c r="R63" s="40" t="s">
        <v>226</v>
      </c>
      <c r="S63" s="40" t="s">
        <v>226</v>
      </c>
      <c r="T63" s="46" t="s">
        <v>227</v>
      </c>
    </row>
    <row r="64" spans="1:20" ht="12.75">
      <c r="A64" s="38"/>
      <c r="B64" s="58"/>
      <c r="C64" s="26" t="s">
        <v>228</v>
      </c>
      <c r="D64" s="46" t="s">
        <v>229</v>
      </c>
      <c r="E64" s="41" t="s">
        <v>230</v>
      </c>
      <c r="F64" s="59" t="s">
        <v>231</v>
      </c>
      <c r="G64" s="59" t="s">
        <v>232</v>
      </c>
      <c r="H64" s="57"/>
      <c r="I64" s="41" t="s">
        <v>229</v>
      </c>
      <c r="J64" s="46" t="s">
        <v>229</v>
      </c>
      <c r="K64" s="46" t="s">
        <v>233</v>
      </c>
      <c r="L64" s="46" t="s">
        <v>133</v>
      </c>
      <c r="M64" s="46" t="s">
        <v>234</v>
      </c>
      <c r="N64" s="33" t="s">
        <v>235</v>
      </c>
      <c r="O64" s="31" t="s">
        <v>235</v>
      </c>
      <c r="P64" s="31" t="s">
        <v>235</v>
      </c>
      <c r="Q64" s="31" t="s">
        <v>235</v>
      </c>
      <c r="R64" s="31" t="s">
        <v>235</v>
      </c>
      <c r="S64" s="31" t="s">
        <v>235</v>
      </c>
      <c r="T64" s="46" t="s">
        <v>236</v>
      </c>
    </row>
    <row r="65" spans="1:20" ht="12.75">
      <c r="A65" s="38"/>
      <c r="B65" s="58"/>
      <c r="C65" s="52"/>
      <c r="D65" s="46" t="s">
        <v>78</v>
      </c>
      <c r="E65" s="56" t="s">
        <v>79</v>
      </c>
      <c r="F65" s="59" t="s">
        <v>237</v>
      </c>
      <c r="G65" s="59" t="s">
        <v>238</v>
      </c>
      <c r="H65" s="57"/>
      <c r="I65" s="41" t="s">
        <v>78</v>
      </c>
      <c r="J65" s="46">
        <v>373.242</v>
      </c>
      <c r="K65" s="46"/>
      <c r="L65" s="46"/>
      <c r="M65" s="46"/>
      <c r="N65" s="60" t="s">
        <v>22</v>
      </c>
      <c r="O65" s="40" t="s">
        <v>83</v>
      </c>
      <c r="P65" s="46" t="s">
        <v>239</v>
      </c>
      <c r="Q65" s="38" t="s">
        <v>22</v>
      </c>
      <c r="R65" s="40" t="s">
        <v>83</v>
      </c>
      <c r="S65" s="46" t="s">
        <v>239</v>
      </c>
      <c r="T65" s="46" t="s">
        <v>84</v>
      </c>
    </row>
    <row r="66" spans="1:20" ht="12.75">
      <c r="A66" s="38"/>
      <c r="B66" s="58"/>
      <c r="C66" s="52"/>
      <c r="D66" s="28"/>
      <c r="E66" s="39"/>
      <c r="F66" s="61"/>
      <c r="G66" s="61"/>
      <c r="H66" s="62"/>
      <c r="I66" s="39"/>
      <c r="J66" s="28"/>
      <c r="K66" s="28"/>
      <c r="L66" s="28"/>
      <c r="M66" s="28"/>
      <c r="N66" s="35"/>
      <c r="P66" s="28"/>
      <c r="Q66" s="27"/>
      <c r="R66" s="27"/>
      <c r="S66" s="28"/>
      <c r="T66" s="28"/>
    </row>
    <row r="67" spans="1:20" ht="12.75">
      <c r="A67" s="38" t="s">
        <v>87</v>
      </c>
      <c r="B67" s="58" t="s">
        <v>240</v>
      </c>
      <c r="C67" s="52">
        <v>1</v>
      </c>
      <c r="D67" s="28">
        <v>450</v>
      </c>
      <c r="E67" s="39">
        <f>(373.242/349.9144)*D67</f>
        <v>479.9999657058983</v>
      </c>
      <c r="F67" s="61">
        <v>11</v>
      </c>
      <c r="G67" s="61">
        <v>2</v>
      </c>
      <c r="H67" s="62">
        <f>(F67+G67/20)/12</f>
        <v>0.9249999999999999</v>
      </c>
      <c r="I67" s="39">
        <v>450</v>
      </c>
      <c r="J67" s="28">
        <f>(373.242/349.9144)*I67</f>
        <v>479.9999657058983</v>
      </c>
      <c r="K67" s="28">
        <f>5760/E67</f>
        <v>12.000000857352603</v>
      </c>
      <c r="L67" s="28">
        <f>349.9144/D67</f>
        <v>0.7775875555555556</v>
      </c>
      <c r="M67" s="28">
        <f>L67*H67</f>
        <v>0.7192684888888888</v>
      </c>
      <c r="N67" s="35">
        <v>37</v>
      </c>
      <c r="O67">
        <v>6</v>
      </c>
      <c r="P67" s="28">
        <f>(N67/20)+(O67/240)</f>
        <v>1.875</v>
      </c>
      <c r="Q67" s="27">
        <v>40</v>
      </c>
      <c r="R67" s="27">
        <v>0</v>
      </c>
      <c r="S67" s="28">
        <f>J67/240</f>
        <v>1.9999998571079096</v>
      </c>
      <c r="T67" s="28">
        <f>(1000/349.9144/0.925)*(I67/240)</f>
        <v>5.792922574855527</v>
      </c>
    </row>
    <row r="68" spans="1:20" ht="12.75">
      <c r="A68" s="38"/>
      <c r="B68" s="58"/>
      <c r="C68" s="52"/>
      <c r="D68" s="28"/>
      <c r="E68" s="39"/>
      <c r="F68" s="61"/>
      <c r="G68" s="61"/>
      <c r="H68" s="62"/>
      <c r="I68" s="39"/>
      <c r="J68" s="28"/>
      <c r="K68" s="28"/>
      <c r="L68" s="28"/>
      <c r="M68" s="28"/>
      <c r="N68" s="35"/>
      <c r="P68" s="28"/>
      <c r="Q68" s="27"/>
      <c r="R68" s="27"/>
      <c r="S68" s="28"/>
      <c r="T68" s="28"/>
    </row>
    <row r="69" spans="1:20" ht="12.75">
      <c r="A69" s="38">
        <v>1504</v>
      </c>
      <c r="B69" s="58" t="s">
        <v>241</v>
      </c>
      <c r="C69" s="52">
        <v>12</v>
      </c>
      <c r="D69" s="28">
        <v>37.5</v>
      </c>
      <c r="E69" s="39">
        <f>(373.242/349.9144)*D69</f>
        <v>39.99999714215819</v>
      </c>
      <c r="F69" s="61">
        <v>11</v>
      </c>
      <c r="G69" s="61">
        <v>2</v>
      </c>
      <c r="H69" s="62">
        <f>(F69+G69/20)/12</f>
        <v>0.9249999999999999</v>
      </c>
      <c r="I69" s="39">
        <v>37.5</v>
      </c>
      <c r="J69" s="28">
        <f>(373.242/349.9144)*I69</f>
        <v>39.99999714215819</v>
      </c>
      <c r="K69" s="28">
        <f>5760/E69</f>
        <v>144.00001028823124</v>
      </c>
      <c r="L69" s="28">
        <f>349.9144/D69</f>
        <v>9.331050666666666</v>
      </c>
      <c r="M69" s="28">
        <f>L69*H69</f>
        <v>8.631221866666666</v>
      </c>
      <c r="N69" s="35">
        <v>37</v>
      </c>
      <c r="O69">
        <v>6</v>
      </c>
      <c r="P69" s="28">
        <f>(N69/20)+(O69/240)</f>
        <v>1.875</v>
      </c>
      <c r="Q69" s="27">
        <v>40</v>
      </c>
      <c r="R69" s="27">
        <v>0</v>
      </c>
      <c r="S69" s="28">
        <f>J69/240*12</f>
        <v>1.9999998571079098</v>
      </c>
      <c r="T69" s="28">
        <f>(1000/349.9144/0.925)*(I69/240)*12</f>
        <v>5.792922574855527</v>
      </c>
    </row>
    <row r="70" spans="1:20" ht="12.75">
      <c r="A70" s="38"/>
      <c r="B70" s="58"/>
      <c r="C70" s="52"/>
      <c r="D70" s="28"/>
      <c r="E70" s="39"/>
      <c r="F70" s="61"/>
      <c r="G70" s="61"/>
      <c r="H70" s="62"/>
      <c r="I70" s="39"/>
      <c r="J70" s="28"/>
      <c r="K70" s="28"/>
      <c r="L70" s="28"/>
      <c r="M70" s="28"/>
      <c r="N70" s="35"/>
      <c r="P70" s="28"/>
      <c r="Q70" s="27"/>
      <c r="R70" s="27"/>
      <c r="S70" s="28"/>
      <c r="T70" s="28"/>
    </row>
    <row r="71" spans="1:20" ht="12.75">
      <c r="A71" s="38" t="s">
        <v>242</v>
      </c>
      <c r="B71" s="58" t="s">
        <v>240</v>
      </c>
      <c r="C71" s="52">
        <v>1</v>
      </c>
      <c r="D71" s="28">
        <f>(349.9144/373.242)*E71</f>
        <v>506.25003616956286</v>
      </c>
      <c r="E71" s="39">
        <v>540</v>
      </c>
      <c r="F71" s="61">
        <v>11</v>
      </c>
      <c r="G71" s="61">
        <v>2</v>
      </c>
      <c r="H71" s="62">
        <f>(F71+G71/20)/12</f>
        <v>0.9249999999999999</v>
      </c>
      <c r="I71" s="39">
        <f>(349.9144/373.242)*J71</f>
        <v>506.25003616956286</v>
      </c>
      <c r="J71" s="28">
        <v>540</v>
      </c>
      <c r="K71" s="28">
        <f>5760/E71</f>
        <v>10.666666666666666</v>
      </c>
      <c r="L71" s="28">
        <f>349.9144/D71</f>
        <v>0.691188888888889</v>
      </c>
      <c r="M71" s="28">
        <f>L71*H71</f>
        <v>0.6393497222222222</v>
      </c>
      <c r="N71" s="35">
        <v>42</v>
      </c>
      <c r="O71">
        <v>2</v>
      </c>
      <c r="P71" s="28">
        <f>(N71/20)+(O71/240)</f>
        <v>2.1083333333333334</v>
      </c>
      <c r="Q71" s="27">
        <v>45</v>
      </c>
      <c r="R71" s="27">
        <v>0</v>
      </c>
      <c r="S71" s="28">
        <f>J71/240</f>
        <v>2.25</v>
      </c>
      <c r="T71" s="28">
        <f>(1000/349.9144/0.925)*(I71/240)</f>
        <v>6.517038362329083</v>
      </c>
    </row>
    <row r="72" spans="1:20" ht="12.75">
      <c r="A72" s="38"/>
      <c r="B72" s="58" t="s">
        <v>241</v>
      </c>
      <c r="C72" s="52">
        <v>12</v>
      </c>
      <c r="D72" s="28">
        <f>(349.9144/373.242)*E72</f>
        <v>42.18750301413024</v>
      </c>
      <c r="E72" s="39">
        <f>E71/12</f>
        <v>45</v>
      </c>
      <c r="F72" s="61">
        <v>11</v>
      </c>
      <c r="G72" s="61">
        <v>2</v>
      </c>
      <c r="H72" s="62">
        <f>(F72+G72/20)/12</f>
        <v>0.9249999999999999</v>
      </c>
      <c r="I72" s="39">
        <f>(349.9144/373.242)*J72</f>
        <v>42.18750301413024</v>
      </c>
      <c r="J72" s="28">
        <f>J71/12</f>
        <v>45</v>
      </c>
      <c r="K72" s="28">
        <f>5760/E72</f>
        <v>128</v>
      </c>
      <c r="L72" s="28">
        <f>349.9144/D72</f>
        <v>8.294266666666667</v>
      </c>
      <c r="M72" s="28">
        <f>L72*H72</f>
        <v>7.672196666666666</v>
      </c>
      <c r="N72" s="35">
        <v>42</v>
      </c>
      <c r="O72">
        <v>2</v>
      </c>
      <c r="P72" s="28">
        <f>(N72/20)+(O72/240)</f>
        <v>2.1083333333333334</v>
      </c>
      <c r="Q72" s="27">
        <v>45</v>
      </c>
      <c r="R72" s="27">
        <v>0</v>
      </c>
      <c r="S72" s="28">
        <f>J72/240*12</f>
        <v>2.25</v>
      </c>
      <c r="T72" s="28">
        <f>(1000/349.9144/0.925)*(I72/240)*12</f>
        <v>6.517038362329084</v>
      </c>
    </row>
    <row r="73" spans="1:22" ht="12.75">
      <c r="A73" s="38"/>
      <c r="B73" s="58"/>
      <c r="C73" s="52"/>
      <c r="D73" s="28"/>
      <c r="E73" s="39"/>
      <c r="F73" s="61"/>
      <c r="G73" s="61"/>
      <c r="H73" s="62"/>
      <c r="I73" s="39"/>
      <c r="J73" s="28"/>
      <c r="K73" s="28"/>
      <c r="L73" s="28"/>
      <c r="N73" s="28"/>
      <c r="O73" s="28"/>
      <c r="R73" s="28"/>
      <c r="S73" s="27"/>
      <c r="T73" s="27"/>
      <c r="U73" s="28"/>
      <c r="V73" s="28"/>
    </row>
    <row r="74" spans="1:22" ht="12.75">
      <c r="A74" s="38"/>
      <c r="B74" s="58"/>
      <c r="C74" s="52"/>
      <c r="D74" s="28"/>
      <c r="E74" s="39"/>
      <c r="F74" s="61"/>
      <c r="G74" s="61"/>
      <c r="H74" s="52"/>
      <c r="I74" s="63"/>
      <c r="J74" s="39"/>
      <c r="K74" s="28"/>
      <c r="L74" s="28"/>
      <c r="M74" s="28"/>
      <c r="N74" s="28"/>
      <c r="O74" s="28"/>
      <c r="R74" s="28"/>
      <c r="S74" s="27"/>
      <c r="T74" s="27"/>
      <c r="U74" s="28"/>
      <c r="V74" s="28"/>
    </row>
    <row r="75" spans="1:22" ht="12.75">
      <c r="A75" s="38"/>
      <c r="B75" s="58"/>
      <c r="C75" s="52"/>
      <c r="D75" s="28"/>
      <c r="E75" s="39"/>
      <c r="F75" s="61"/>
      <c r="G75" s="61"/>
      <c r="H75" s="52"/>
      <c r="I75" s="63"/>
      <c r="J75" s="39"/>
      <c r="K75" s="28"/>
      <c r="L75" s="28"/>
      <c r="M75" s="28"/>
      <c r="N75" s="28"/>
      <c r="O75" s="28"/>
      <c r="R75" s="28"/>
      <c r="S75" s="27"/>
      <c r="T75" s="27"/>
      <c r="U75" s="28"/>
      <c r="V75" s="28"/>
    </row>
    <row r="76" spans="1:22" ht="12.75">
      <c r="A76" s="38"/>
      <c r="B76" s="58"/>
      <c r="C76" s="52"/>
      <c r="D76" s="28"/>
      <c r="E76" s="39"/>
      <c r="F76" s="61"/>
      <c r="G76" s="61"/>
      <c r="H76" s="52"/>
      <c r="I76" s="63"/>
      <c r="J76" s="39"/>
      <c r="K76" s="28"/>
      <c r="L76" s="28"/>
      <c r="M76" s="28"/>
      <c r="N76" s="28"/>
      <c r="O76" s="28"/>
      <c r="R76" s="28"/>
      <c r="S76" s="27"/>
      <c r="T76" s="27"/>
      <c r="U76" s="28"/>
      <c r="V76" s="28"/>
    </row>
    <row r="77" spans="1:22" ht="12.75">
      <c r="A77" s="38" t="s">
        <v>243</v>
      </c>
      <c r="B77" s="58"/>
      <c r="C77" s="52"/>
      <c r="D77" s="28"/>
      <c r="E77" s="39"/>
      <c r="F77" s="61"/>
      <c r="G77" s="61"/>
      <c r="H77" s="52"/>
      <c r="I77" s="63"/>
      <c r="J77" s="39"/>
      <c r="K77" s="28"/>
      <c r="L77" s="28"/>
      <c r="M77" s="28"/>
      <c r="N77" s="28"/>
      <c r="O77" s="28"/>
      <c r="R77" s="28"/>
      <c r="S77" s="27"/>
      <c r="T77" s="27"/>
      <c r="U77" s="28"/>
      <c r="V77" s="28"/>
    </row>
    <row r="78" spans="1:22" ht="12.75">
      <c r="A78" s="38"/>
      <c r="B78" s="58"/>
      <c r="C78" s="52"/>
      <c r="D78" s="28"/>
      <c r="E78" s="39"/>
      <c r="F78" s="61"/>
      <c r="G78" s="61"/>
      <c r="H78" s="52"/>
      <c r="I78" s="63"/>
      <c r="J78" s="39"/>
      <c r="K78" s="28"/>
      <c r="L78" s="28"/>
      <c r="M78" s="28"/>
      <c r="N78" s="28"/>
      <c r="O78" s="28"/>
      <c r="R78" s="28"/>
      <c r="S78" s="27"/>
      <c r="T78" s="27"/>
      <c r="U78" s="28"/>
      <c r="V78" s="28"/>
    </row>
    <row r="79" spans="1:22" ht="12.75">
      <c r="A79" s="38" t="s">
        <v>97</v>
      </c>
      <c r="B79" s="58" t="s">
        <v>244</v>
      </c>
      <c r="C79" s="52"/>
      <c r="D79" s="28"/>
      <c r="E79" s="39"/>
      <c r="F79" s="61"/>
      <c r="G79" s="61"/>
      <c r="H79" s="52"/>
      <c r="I79" s="63"/>
      <c r="J79" s="39"/>
      <c r="K79" s="28"/>
      <c r="L79" s="28"/>
      <c r="M79" s="28"/>
      <c r="N79" s="28"/>
      <c r="O79" s="28"/>
      <c r="R79" s="28"/>
      <c r="S79" s="27"/>
      <c r="T79" s="27"/>
      <c r="U79" s="28"/>
      <c r="V79" s="28"/>
    </row>
    <row r="80" spans="1:22" ht="12.75">
      <c r="A80" s="38"/>
      <c r="B80" s="58" t="s">
        <v>245</v>
      </c>
      <c r="C80" s="52"/>
      <c r="D80" s="28"/>
      <c r="E80" s="39"/>
      <c r="F80" s="61"/>
      <c r="G80" s="61"/>
      <c r="H80" s="52"/>
      <c r="I80" s="63"/>
      <c r="J80" s="39"/>
      <c r="K80" s="28"/>
      <c r="L80" s="28"/>
      <c r="M80" s="28"/>
      <c r="N80" s="28"/>
      <c r="O80" s="28"/>
      <c r="R80" s="28"/>
      <c r="S80" s="27"/>
      <c r="T80" s="27"/>
      <c r="U80" s="28"/>
      <c r="V80" s="28"/>
    </row>
    <row r="81" spans="1:22" ht="12.75">
      <c r="A81" s="38"/>
      <c r="B81" s="58"/>
      <c r="C81" s="52"/>
      <c r="D81" s="28"/>
      <c r="E81" s="39"/>
      <c r="F81" s="61"/>
      <c r="G81" s="61"/>
      <c r="H81" s="52"/>
      <c r="I81" s="54"/>
      <c r="J81" s="39"/>
      <c r="K81" s="28"/>
      <c r="L81" s="28"/>
      <c r="M81" s="28"/>
      <c r="N81" s="28"/>
      <c r="O81" s="28"/>
      <c r="R81" s="28"/>
      <c r="S81" s="27"/>
      <c r="T81" s="27"/>
      <c r="U81" s="28"/>
      <c r="V81" s="28"/>
    </row>
    <row r="82" spans="1:22" ht="12.75">
      <c r="A82" s="38" t="s">
        <v>246</v>
      </c>
      <c r="B82" s="64" t="s">
        <v>247</v>
      </c>
      <c r="C82" s="52"/>
      <c r="D82" s="28"/>
      <c r="E82" s="39"/>
      <c r="F82" s="61"/>
      <c r="G82" s="61"/>
      <c r="H82" s="52"/>
      <c r="J82" s="39"/>
      <c r="K82" s="28"/>
      <c r="L82" s="28"/>
      <c r="M82" s="28"/>
      <c r="N82" s="28"/>
      <c r="O82" s="28"/>
      <c r="R82" s="28"/>
      <c r="S82" s="27"/>
      <c r="T82" s="27"/>
      <c r="U82" s="28"/>
      <c r="V82" s="28"/>
    </row>
    <row r="83" spans="1:22" ht="12.75">
      <c r="A83" s="38"/>
      <c r="B83" s="58"/>
      <c r="C83" s="52"/>
      <c r="D83" s="28"/>
      <c r="E83" s="39"/>
      <c r="F83" s="61"/>
      <c r="G83" s="61"/>
      <c r="H83" s="52"/>
      <c r="I83" s="63"/>
      <c r="J83" s="39"/>
      <c r="K83" s="28"/>
      <c r="L83" s="28"/>
      <c r="M83" s="28"/>
      <c r="N83" s="28"/>
      <c r="O83" s="28"/>
      <c r="R83" s="28"/>
      <c r="S83" s="27"/>
      <c r="T83" s="27"/>
      <c r="U83" s="28"/>
      <c r="V83" s="28"/>
    </row>
    <row r="84" spans="1:2" ht="12.75">
      <c r="A84" s="38" t="s">
        <v>248</v>
      </c>
      <c r="B84" s="64" t="s">
        <v>249</v>
      </c>
    </row>
    <row r="85" spans="1:17" ht="12.75">
      <c r="A85" s="52"/>
      <c r="C85" s="52"/>
      <c r="D85" s="28"/>
      <c r="E85" s="30"/>
      <c r="F85" s="27"/>
      <c r="G85" s="27"/>
      <c r="H85" s="49"/>
      <c r="I85" s="51"/>
      <c r="J85" s="51"/>
      <c r="Q85" s="30"/>
    </row>
    <row r="86" spans="1:11" ht="12.75">
      <c r="A86" s="26" t="s">
        <v>99</v>
      </c>
      <c r="B86" s="31" t="s">
        <v>100</v>
      </c>
      <c r="C86" s="27"/>
      <c r="D86" s="28"/>
      <c r="E86" s="29"/>
      <c r="F86" s="28"/>
      <c r="G86" s="30"/>
      <c r="H86" s="30"/>
      <c r="I86" s="30"/>
      <c r="J86" s="27"/>
      <c r="K86" s="28"/>
    </row>
    <row r="87" spans="1:11" ht="12.75">
      <c r="A87" s="26"/>
      <c r="B87" t="s">
        <v>101</v>
      </c>
      <c r="C87" s="27"/>
      <c r="D87" s="28"/>
      <c r="E87" s="29"/>
      <c r="F87" s="28"/>
      <c r="G87" s="30"/>
      <c r="H87" s="30"/>
      <c r="I87" s="30"/>
      <c r="J87" s="27"/>
      <c r="K87" s="28"/>
    </row>
    <row r="88" spans="1:11" ht="12.75">
      <c r="A88" s="26"/>
      <c r="B88" t="s">
        <v>102</v>
      </c>
      <c r="C88" s="27"/>
      <c r="D88" s="28"/>
      <c r="E88" s="29"/>
      <c r="F88" s="28"/>
      <c r="G88" s="30"/>
      <c r="H88" s="30"/>
      <c r="I88" s="30"/>
      <c r="J88" s="27"/>
      <c r="K88" s="28"/>
    </row>
    <row r="89" spans="1:11" ht="12.75">
      <c r="A89" s="26"/>
      <c r="B89" t="s">
        <v>103</v>
      </c>
      <c r="J89" s="27"/>
      <c r="K89" s="28"/>
    </row>
    <row r="90" spans="1:2" ht="12.75">
      <c r="A90" s="26"/>
      <c r="B90" t="s">
        <v>104</v>
      </c>
    </row>
    <row r="91" spans="1:11" ht="12.75">
      <c r="A91" s="26"/>
      <c r="B91" t="s">
        <v>105</v>
      </c>
      <c r="C91" s="27"/>
      <c r="D91" s="28"/>
      <c r="E91" s="29"/>
      <c r="F91" s="28"/>
      <c r="G91" s="30"/>
      <c r="H91" s="30"/>
      <c r="I91" s="30"/>
      <c r="J91" s="27"/>
      <c r="K91" s="28"/>
    </row>
    <row r="92" spans="1:11" ht="12.75">
      <c r="A92" s="26"/>
      <c r="B92" t="s">
        <v>106</v>
      </c>
      <c r="C92" s="27"/>
      <c r="D92" s="28"/>
      <c r="E92" s="29"/>
      <c r="F92" s="28"/>
      <c r="G92" s="30"/>
      <c r="H92" s="30"/>
      <c r="I92" s="30"/>
      <c r="J92" s="27"/>
      <c r="K92" s="28"/>
    </row>
    <row r="93" spans="1:11" ht="12.75">
      <c r="A93" s="26"/>
      <c r="B93" s="31" t="s">
        <v>107</v>
      </c>
      <c r="C93" s="27"/>
      <c r="D93" s="28"/>
      <c r="E93" s="29"/>
      <c r="F93" s="28"/>
      <c r="G93" s="30"/>
      <c r="H93" s="30"/>
      <c r="I93" s="30"/>
      <c r="J93" s="27"/>
      <c r="K93" s="28"/>
    </row>
    <row r="94" spans="1:11" ht="12.75">
      <c r="A94" s="26"/>
      <c r="B94" t="s">
        <v>108</v>
      </c>
      <c r="C94" s="27"/>
      <c r="D94" s="28"/>
      <c r="E94" s="29"/>
      <c r="F94" s="28"/>
      <c r="G94" s="30"/>
      <c r="H94" s="30"/>
      <c r="I94" s="30"/>
      <c r="J94" s="27"/>
      <c r="K94" s="28"/>
    </row>
    <row r="95" spans="1:11" ht="12.75">
      <c r="A95" s="26"/>
      <c r="B95" t="s">
        <v>109</v>
      </c>
      <c r="C95" s="27"/>
      <c r="D95" s="28"/>
      <c r="E95" s="29"/>
      <c r="F95" s="28"/>
      <c r="G95" s="30"/>
      <c r="H95" s="30"/>
      <c r="I95" s="30"/>
      <c r="J95" s="27"/>
      <c r="K95" s="28"/>
    </row>
    <row r="96" spans="1:11" ht="12.75">
      <c r="A96" s="26"/>
      <c r="B96" t="s">
        <v>110</v>
      </c>
      <c r="C96" s="27"/>
      <c r="D96" s="28"/>
      <c r="E96" s="29"/>
      <c r="F96" s="28"/>
      <c r="G96" s="30"/>
      <c r="H96" s="30"/>
      <c r="I96" s="30"/>
      <c r="J96" s="27"/>
      <c r="K96" s="28"/>
    </row>
    <row r="97" spans="1:11" ht="12.75">
      <c r="A97" s="26"/>
      <c r="B97" t="s">
        <v>111</v>
      </c>
      <c r="C97" s="27"/>
      <c r="D97" s="28"/>
      <c r="E97" s="29"/>
      <c r="F97" s="28"/>
      <c r="G97" s="30"/>
      <c r="H97" s="30"/>
      <c r="I97" s="30"/>
      <c r="J97" s="27"/>
      <c r="K97" s="28"/>
    </row>
    <row r="98" spans="1:11" ht="12.75">
      <c r="A98" s="26"/>
      <c r="B98" s="31" t="s">
        <v>112</v>
      </c>
      <c r="C98" s="27"/>
      <c r="D98" s="28"/>
      <c r="E98" s="29"/>
      <c r="F98" s="28"/>
      <c r="G98" s="30"/>
      <c r="H98" s="30"/>
      <c r="I98" s="30"/>
      <c r="J98" s="27"/>
      <c r="K98" s="28"/>
    </row>
    <row r="99" spans="1:11" ht="12.75">
      <c r="A99" s="26"/>
      <c r="B99" t="s">
        <v>113</v>
      </c>
      <c r="C99" s="27"/>
      <c r="D99" s="28"/>
      <c r="E99" s="29"/>
      <c r="F99" s="28"/>
      <c r="G99" s="30"/>
      <c r="H99" s="30"/>
      <c r="I99" s="30"/>
      <c r="J99" s="27"/>
      <c r="K99" s="28"/>
    </row>
    <row r="100" spans="1:11" ht="12.75">
      <c r="A100" s="26"/>
      <c r="B100" t="s">
        <v>114</v>
      </c>
      <c r="C100" s="27"/>
      <c r="D100" s="28"/>
      <c r="E100" s="29"/>
      <c r="F100" s="28"/>
      <c r="G100" s="30"/>
      <c r="H100" s="30"/>
      <c r="I100" s="30"/>
      <c r="J100" s="27"/>
      <c r="K100" s="28"/>
    </row>
    <row r="101" spans="1:11" ht="12.75">
      <c r="A101" s="26"/>
      <c r="B101" t="s">
        <v>115</v>
      </c>
      <c r="C101" s="27"/>
      <c r="D101" s="28"/>
      <c r="E101" s="29"/>
      <c r="F101" s="28"/>
      <c r="G101" s="30"/>
      <c r="H101" s="30"/>
      <c r="I101" s="30"/>
      <c r="J101" s="27"/>
      <c r="K101" s="28"/>
    </row>
    <row r="102" spans="1:11" ht="12.75">
      <c r="A102" s="26"/>
      <c r="B102" t="s">
        <v>116</v>
      </c>
      <c r="C102" s="27"/>
      <c r="D102" s="28"/>
      <c r="E102" s="29"/>
      <c r="F102" s="28"/>
      <c r="G102" s="30"/>
      <c r="H102" s="30"/>
      <c r="I102" s="30"/>
      <c r="J102" s="27"/>
      <c r="K102" s="28"/>
    </row>
    <row r="103" spans="1:11" ht="12.75">
      <c r="A103" s="26"/>
      <c r="B103" t="s">
        <v>117</v>
      </c>
      <c r="C103" s="27"/>
      <c r="D103" s="28"/>
      <c r="E103" s="29"/>
      <c r="F103" s="28"/>
      <c r="G103" s="30"/>
      <c r="H103" s="30"/>
      <c r="I103" s="30"/>
      <c r="J103" s="27"/>
      <c r="K103" s="28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2">
      <selection activeCell="A15" sqref="A15"/>
    </sheetView>
  </sheetViews>
  <sheetFormatPr defaultColWidth="9.140625" defaultRowHeight="12.75"/>
  <cols>
    <col min="1" max="1" width="6.421875" style="65" customWidth="1"/>
    <col min="2" max="2" width="14.57421875" style="67" customWidth="1"/>
    <col min="3" max="3" width="14.7109375" style="55" customWidth="1"/>
    <col min="4" max="4" width="14.8515625" style="0" customWidth="1"/>
    <col min="5" max="5" width="14.7109375" style="0" customWidth="1"/>
    <col min="6" max="6" width="13.00390625" style="30" customWidth="1"/>
    <col min="7" max="7" width="14.7109375" style="54" customWidth="1"/>
    <col min="8" max="8" width="8.421875" style="54" customWidth="1"/>
    <col min="9" max="10" width="9.140625" style="35" customWidth="1"/>
    <col min="11" max="11" width="11.421875" style="35" customWidth="1"/>
    <col min="12" max="12" width="12.7109375" style="35" customWidth="1"/>
    <col min="13" max="13" width="12.140625" style="35" customWidth="1"/>
    <col min="14" max="17" width="10.28125" style="35" customWidth="1"/>
  </cols>
  <sheetData>
    <row r="1" spans="2:4" ht="12.75">
      <c r="B1" s="66" t="s">
        <v>250</v>
      </c>
      <c r="D1" s="40" t="s">
        <v>251</v>
      </c>
    </row>
    <row r="2" ht="12.75">
      <c r="D2" s="40" t="s">
        <v>252</v>
      </c>
    </row>
    <row r="3" ht="12.75">
      <c r="A3" s="54"/>
    </row>
    <row r="4" spans="2:17" ht="12.75">
      <c r="B4" s="42" t="s">
        <v>160</v>
      </c>
      <c r="C4" s="45" t="s">
        <v>253</v>
      </c>
      <c r="D4" s="40" t="s">
        <v>254</v>
      </c>
      <c r="E4" s="45" t="s">
        <v>253</v>
      </c>
      <c r="F4" s="42" t="s">
        <v>255</v>
      </c>
      <c r="G4" s="45" t="s">
        <v>253</v>
      </c>
      <c r="H4" s="40"/>
      <c r="I4" s="46" t="s">
        <v>254</v>
      </c>
      <c r="J4" s="46" t="s">
        <v>255</v>
      </c>
      <c r="K4" s="33" t="s">
        <v>75</v>
      </c>
      <c r="L4" s="33" t="s">
        <v>75</v>
      </c>
      <c r="M4" s="33" t="s">
        <v>75</v>
      </c>
      <c r="N4" s="46" t="s">
        <v>256</v>
      </c>
      <c r="O4" s="46" t="s">
        <v>257</v>
      </c>
      <c r="P4" s="46" t="s">
        <v>256</v>
      </c>
      <c r="Q4" s="46" t="s">
        <v>257</v>
      </c>
    </row>
    <row r="5" spans="1:17" ht="12.75">
      <c r="A5" s="65" t="s">
        <v>133</v>
      </c>
      <c r="B5" s="42" t="s">
        <v>258</v>
      </c>
      <c r="C5" s="45" t="s">
        <v>62</v>
      </c>
      <c r="D5" s="40" t="s">
        <v>212</v>
      </c>
      <c r="E5" s="45" t="s">
        <v>62</v>
      </c>
      <c r="F5" s="42" t="s">
        <v>240</v>
      </c>
      <c r="G5" s="45" t="s">
        <v>62</v>
      </c>
      <c r="H5" s="40"/>
      <c r="I5" s="46" t="s">
        <v>212</v>
      </c>
      <c r="J5" s="46" t="s">
        <v>240</v>
      </c>
      <c r="K5" s="33" t="s">
        <v>259</v>
      </c>
      <c r="L5" s="33" t="s">
        <v>259</v>
      </c>
      <c r="M5" s="33" t="s">
        <v>259</v>
      </c>
      <c r="N5" s="46" t="s">
        <v>260</v>
      </c>
      <c r="O5" s="46" t="s">
        <v>160</v>
      </c>
      <c r="P5" s="46" t="s">
        <v>255</v>
      </c>
      <c r="Q5" s="46" t="s">
        <v>260</v>
      </c>
    </row>
    <row r="6" spans="2:17" ht="12.75">
      <c r="B6" s="42" t="s">
        <v>261</v>
      </c>
      <c r="C6" s="45" t="s">
        <v>262</v>
      </c>
      <c r="D6" s="40" t="s">
        <v>263</v>
      </c>
      <c r="E6" s="45" t="s">
        <v>262</v>
      </c>
      <c r="F6" s="42" t="s">
        <v>264</v>
      </c>
      <c r="G6" s="45" t="s">
        <v>262</v>
      </c>
      <c r="H6" s="40"/>
      <c r="I6" s="46" t="s">
        <v>13</v>
      </c>
      <c r="J6" s="46" t="s">
        <v>13</v>
      </c>
      <c r="K6" s="33" t="s">
        <v>265</v>
      </c>
      <c r="L6" s="33" t="s">
        <v>265</v>
      </c>
      <c r="M6" s="33" t="s">
        <v>265</v>
      </c>
      <c r="N6" s="46" t="s">
        <v>266</v>
      </c>
      <c r="O6" s="46" t="s">
        <v>266</v>
      </c>
      <c r="P6" s="46" t="s">
        <v>266</v>
      </c>
      <c r="Q6" s="46" t="s">
        <v>266</v>
      </c>
    </row>
    <row r="7" spans="2:17" ht="12.75">
      <c r="B7" s="42" t="s">
        <v>267</v>
      </c>
      <c r="C7" s="45" t="s">
        <v>268</v>
      </c>
      <c r="D7" s="40" t="s">
        <v>267</v>
      </c>
      <c r="E7" s="45" t="s">
        <v>268</v>
      </c>
      <c r="F7" s="40" t="s">
        <v>267</v>
      </c>
      <c r="G7" s="45" t="s">
        <v>268</v>
      </c>
      <c r="H7" s="40"/>
      <c r="I7" s="46" t="s">
        <v>152</v>
      </c>
      <c r="J7" s="46" t="s">
        <v>152</v>
      </c>
      <c r="K7" s="33" t="s">
        <v>162</v>
      </c>
      <c r="L7" s="33" t="s">
        <v>126</v>
      </c>
      <c r="M7" s="33" t="s">
        <v>82</v>
      </c>
      <c r="N7" s="46" t="s">
        <v>269</v>
      </c>
      <c r="O7" s="46" t="s">
        <v>269</v>
      </c>
      <c r="P7" s="46" t="s">
        <v>269</v>
      </c>
      <c r="Q7" s="46" t="s">
        <v>269</v>
      </c>
    </row>
    <row r="9" spans="1:17" ht="12.75">
      <c r="A9" s="65">
        <v>1499</v>
      </c>
      <c r="B9" s="30">
        <v>0.9773119267433987</v>
      </c>
      <c r="C9" s="51"/>
      <c r="D9" s="50">
        <v>1.0227682957848838</v>
      </c>
      <c r="E9" s="50"/>
      <c r="F9" s="30">
        <v>0.719268488888889</v>
      </c>
      <c r="I9" s="35">
        <f>(D9/B9)*2</f>
        <v>2.093023256541962</v>
      </c>
      <c r="J9" s="35">
        <f>(F9/B9)*2</f>
        <v>1.4719322852953145</v>
      </c>
      <c r="K9" s="35">
        <f>(1000/B9)*(2/240)</f>
        <v>8.526789764145914</v>
      </c>
      <c r="L9" s="35">
        <f>(1000/D9)*(12/240)</f>
        <v>48.88692796409909</v>
      </c>
      <c r="M9" s="35">
        <f>(1000/F9)*(1/240)</f>
        <v>5.792922574855527</v>
      </c>
      <c r="N9" s="35">
        <f>L9/K9</f>
        <v>5.73333333133913</v>
      </c>
      <c r="O9" s="35">
        <f>K9/M9</f>
        <v>1.4719322852953147</v>
      </c>
      <c r="P9" s="35">
        <f>M9/K9</f>
        <v>0.6793790787728863</v>
      </c>
      <c r="Q9" s="35">
        <f>L9/M9</f>
        <v>8.439078432757805</v>
      </c>
    </row>
    <row r="11" spans="1:17" ht="12.75">
      <c r="A11" s="65">
        <v>1519</v>
      </c>
      <c r="B11" s="30">
        <v>0.9773119267433987</v>
      </c>
      <c r="C11" s="51">
        <f>(B9-B11)/B9</f>
        <v>0</v>
      </c>
      <c r="D11" s="50">
        <v>0.9029512369791667</v>
      </c>
      <c r="E11" s="51">
        <f>(D9-D11)/D9</f>
        <v>0.11714975845410634</v>
      </c>
      <c r="F11" s="30">
        <v>0.719268488888889</v>
      </c>
      <c r="G11" s="51">
        <f>(F9-F11)/F9</f>
        <v>0</v>
      </c>
      <c r="I11" s="35">
        <f>(D11/B11)*2</f>
        <v>1.8478260875992438</v>
      </c>
      <c r="J11" s="35">
        <f>(F11/B11)*2</f>
        <v>1.4719322852953145</v>
      </c>
      <c r="K11" s="35">
        <f>(1000/B11)*(2/240)</f>
        <v>8.526789764145914</v>
      </c>
      <c r="L11" s="35">
        <f>(1000/D11)*(12/240)</f>
        <v>55.373975860840005</v>
      </c>
      <c r="M11" s="35">
        <f>(1000/F11)*(1/240)</f>
        <v>5.792922574855527</v>
      </c>
      <c r="N11" s="35">
        <f>L11/K11</f>
        <v>6.494117644799999</v>
      </c>
      <c r="O11" s="35">
        <f>K11/M11</f>
        <v>1.4719322852953147</v>
      </c>
      <c r="P11" s="35">
        <f>M11/K11</f>
        <v>0.6793790787728863</v>
      </c>
      <c r="Q11" s="35">
        <f>L11/M11</f>
        <v>9.55890142588709</v>
      </c>
    </row>
    <row r="13" spans="1:17" ht="12.75">
      <c r="A13" s="65">
        <v>1521</v>
      </c>
      <c r="B13" s="30">
        <v>0.9454430598958334</v>
      </c>
      <c r="C13" s="51">
        <f>(B11-B13)/B11</f>
        <v>0.032608695315689856</v>
      </c>
      <c r="D13" s="50">
        <v>0.9029512369791667</v>
      </c>
      <c r="E13" s="51">
        <f>(D11-D13)/D11</f>
        <v>0</v>
      </c>
      <c r="F13" s="30">
        <v>0.719268488888889</v>
      </c>
      <c r="G13" s="51">
        <f>(F11-F13)/F11</f>
        <v>0</v>
      </c>
      <c r="I13" s="35">
        <f>(D13/B13)*2</f>
        <v>1.9101123595505616</v>
      </c>
      <c r="J13" s="35">
        <f>(F13/B13)*2</f>
        <v>1.5215479797760347</v>
      </c>
      <c r="K13" s="35">
        <f>(1000/B13)*(2/240)</f>
        <v>8.814209640770411</v>
      </c>
      <c r="L13" s="35">
        <f>(1000/D13)*(12/240)</f>
        <v>55.373975860840005</v>
      </c>
      <c r="M13" s="35">
        <f>(1000/F13)*(1/240)</f>
        <v>5.792922574855527</v>
      </c>
      <c r="N13" s="35">
        <f>L13/K13</f>
        <v>6.282352941176472</v>
      </c>
      <c r="O13" s="35">
        <f>K13/M13</f>
        <v>1.5215479797760345</v>
      </c>
      <c r="P13" s="35">
        <f>M13/K13</f>
        <v>0.6572254133893272</v>
      </c>
      <c r="Q13" s="35">
        <f>L13/M13</f>
        <v>9.55890142588709</v>
      </c>
    </row>
    <row r="15" spans="1:17" ht="12.75">
      <c r="A15" s="65">
        <v>1526</v>
      </c>
      <c r="B15" s="30">
        <v>0.9454430598958334</v>
      </c>
      <c r="C15" s="51">
        <f>(B13-B15)/B13</f>
        <v>0</v>
      </c>
      <c r="D15" s="50">
        <v>0.9029512369791667</v>
      </c>
      <c r="E15" s="51">
        <f>(D13-D15)/D13</f>
        <v>0</v>
      </c>
      <c r="F15" s="30">
        <v>0.6392866284811377</v>
      </c>
      <c r="G15" s="51">
        <f>(F13-F15)/F13</f>
        <v>0.11119889393640135</v>
      </c>
      <c r="I15" s="35">
        <f>(D15/B15)*2</f>
        <v>1.9101123595505616</v>
      </c>
      <c r="J15" s="35">
        <f>(F15/B15)*2</f>
        <v>1.3523535273537737</v>
      </c>
      <c r="K15" s="35">
        <f>(1000/B15)*(2/240)</f>
        <v>8.814209640770411</v>
      </c>
      <c r="L15" s="35">
        <f>(1000/D15)*(12/240)</f>
        <v>55.373975860840005</v>
      </c>
      <c r="M15" s="35">
        <f>(1000/F15)*(1/240)</f>
        <v>6.517681554776341</v>
      </c>
      <c r="N15" s="35">
        <f>L15/K15</f>
        <v>6.282352941176472</v>
      </c>
      <c r="O15" s="35">
        <f>K15/M15</f>
        <v>1.3523535273537735</v>
      </c>
      <c r="P15" s="35">
        <f>M15/K15</f>
        <v>0.7394516151089253</v>
      </c>
      <c r="Q15" s="35">
        <f>L15/M15</f>
        <v>8.495962160081355</v>
      </c>
    </row>
    <row r="17" spans="1:17" ht="12.75">
      <c r="A17" s="65">
        <v>1540</v>
      </c>
      <c r="B17" s="30">
        <v>0.9454430598958334</v>
      </c>
      <c r="C17" s="51">
        <f>(B15-B17)/B15</f>
        <v>0</v>
      </c>
      <c r="D17" s="50">
        <v>0.885246310763889</v>
      </c>
      <c r="E17" s="51">
        <f>(D15-D17)/D15</f>
        <v>0.01960784313725475</v>
      </c>
      <c r="F17" s="30">
        <v>0.6392866284811377</v>
      </c>
      <c r="G17" s="51">
        <f>(F15-F17)/F15</f>
        <v>0</v>
      </c>
      <c r="I17" s="35">
        <f>(D17/B17)*2</f>
        <v>1.8726591760299627</v>
      </c>
      <c r="J17" s="35">
        <f>(F17/B17)*2</f>
        <v>1.3523535273537737</v>
      </c>
      <c r="K17" s="35">
        <f>(1000/B17)*(2/240)</f>
        <v>8.814209640770411</v>
      </c>
      <c r="L17" s="35">
        <f>(1000/D17)*(12/240)</f>
        <v>56.4814553780568</v>
      </c>
      <c r="M17" s="35">
        <f>(1000/F17)*(1/240)</f>
        <v>6.517681554776341</v>
      </c>
      <c r="N17" s="35">
        <f>L17/K17</f>
        <v>6.408000000000001</v>
      </c>
      <c r="O17" s="35">
        <f>K17/M17</f>
        <v>1.3523535273537735</v>
      </c>
      <c r="P17" s="35">
        <f>M17/K17</f>
        <v>0.7394516151089253</v>
      </c>
      <c r="Q17" s="35">
        <f>L17/M17</f>
        <v>8.665881403282981</v>
      </c>
    </row>
    <row r="19" spans="1:17" ht="12.75">
      <c r="A19" s="65">
        <v>1541</v>
      </c>
      <c r="B19" s="30">
        <v>0.9454430598958334</v>
      </c>
      <c r="C19" s="51">
        <f>(B17-B19)/B17</f>
        <v>0</v>
      </c>
      <c r="D19" s="50">
        <v>0.7875773771367524</v>
      </c>
      <c r="E19" s="51">
        <f>(D17-D19)/D17</f>
        <v>0.11032967032967024</v>
      </c>
      <c r="F19" s="30">
        <v>0.6392866284811377</v>
      </c>
      <c r="G19" s="51">
        <f>(F17-F19)/F17</f>
        <v>0</v>
      </c>
      <c r="I19" s="35">
        <f>(D19/B19)*2</f>
        <v>1.666049306498745</v>
      </c>
      <c r="J19" s="35">
        <f>(F19/B19)*2</f>
        <v>1.3523535273537737</v>
      </c>
      <c r="K19" s="35">
        <f>(1000/B19)*(2/240)</f>
        <v>8.814209640770411</v>
      </c>
      <c r="L19" s="35">
        <f>(1000/D19)*(12/240)</f>
        <v>63.485825585513446</v>
      </c>
      <c r="M19" s="35">
        <f>(1000/F19)*(1/240)</f>
        <v>6.517681554776341</v>
      </c>
      <c r="N19" s="35">
        <f>L19/K19</f>
        <v>7.202667984189724</v>
      </c>
      <c r="O19" s="35">
        <f>K19/M19</f>
        <v>1.3523535273537735</v>
      </c>
      <c r="P19" s="35">
        <f>M19/K19</f>
        <v>0.7394516151089253</v>
      </c>
      <c r="Q19" s="35">
        <f>L19/M19</f>
        <v>9.740553454777066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8.8515625" style="0" customWidth="1"/>
    <col min="3" max="3" width="20.00390625" style="0" customWidth="1"/>
    <col min="4" max="4" width="17.00390625" style="0" customWidth="1"/>
    <col min="5" max="5" width="17.8515625" style="0" customWidth="1"/>
    <col min="6" max="6" width="13.00390625" style="0" customWidth="1"/>
  </cols>
  <sheetData>
    <row r="1" spans="2:3" ht="12.75">
      <c r="B1" s="31" t="s">
        <v>270</v>
      </c>
      <c r="C1" s="31" t="s">
        <v>271</v>
      </c>
    </row>
    <row r="2" ht="12.75">
      <c r="C2" s="31" t="s">
        <v>272</v>
      </c>
    </row>
    <row r="3" ht="12.75">
      <c r="C3" s="31" t="s">
        <v>273</v>
      </c>
    </row>
    <row r="4" spans="1:5" ht="12.75">
      <c r="A4" s="68"/>
      <c r="C4" s="66" t="s">
        <v>274</v>
      </c>
      <c r="E4" s="67"/>
    </row>
    <row r="5" spans="1:3" ht="12.75">
      <c r="A5" s="68"/>
      <c r="B5" s="67"/>
      <c r="C5" s="67"/>
    </row>
    <row r="6" spans="1:6" ht="12.75">
      <c r="A6" s="68" t="s">
        <v>44</v>
      </c>
      <c r="B6" s="66" t="s">
        <v>275</v>
      </c>
      <c r="C6" s="33" t="s">
        <v>276</v>
      </c>
      <c r="D6" s="31" t="s">
        <v>277</v>
      </c>
      <c r="E6" s="66" t="s">
        <v>278</v>
      </c>
      <c r="F6" s="69" t="s">
        <v>279</v>
      </c>
    </row>
    <row r="7" spans="1:6" ht="12.75">
      <c r="A7" s="68"/>
      <c r="B7" s="66" t="s">
        <v>280</v>
      </c>
      <c r="C7" s="33" t="s">
        <v>281</v>
      </c>
      <c r="D7" s="31" t="s">
        <v>282</v>
      </c>
      <c r="E7" s="66" t="s">
        <v>283</v>
      </c>
      <c r="F7" s="69" t="s">
        <v>284</v>
      </c>
    </row>
    <row r="8" spans="1:6" ht="12.75">
      <c r="A8" s="68"/>
      <c r="B8" s="66" t="s">
        <v>285</v>
      </c>
      <c r="C8" s="33" t="s">
        <v>286</v>
      </c>
      <c r="D8" s="31" t="s">
        <v>287</v>
      </c>
      <c r="E8" s="66" t="s">
        <v>288</v>
      </c>
      <c r="F8" s="69" t="s">
        <v>289</v>
      </c>
    </row>
    <row r="9" spans="1:6" ht="12.75">
      <c r="A9" s="68"/>
      <c r="B9" s="67"/>
      <c r="C9" s="33"/>
      <c r="D9" s="31" t="s">
        <v>290</v>
      </c>
      <c r="E9" s="67"/>
      <c r="F9" s="69" t="s">
        <v>213</v>
      </c>
    </row>
    <row r="10" spans="1:3" ht="12.75">
      <c r="A10" s="68"/>
      <c r="B10" s="67"/>
      <c r="C10" s="67"/>
    </row>
    <row r="11" spans="1:6" ht="12.75">
      <c r="A11" s="68">
        <v>1500</v>
      </c>
      <c r="B11" s="67">
        <v>7.248</v>
      </c>
      <c r="C11" s="28">
        <v>91.9793966151582</v>
      </c>
      <c r="D11" s="28">
        <v>94.97772364874665</v>
      </c>
      <c r="E11" s="67">
        <v>7.104</v>
      </c>
      <c r="F11" s="55">
        <v>0.9684312603166078</v>
      </c>
    </row>
    <row r="12" spans="1:6" ht="12.75">
      <c r="A12" s="68">
        <v>1501</v>
      </c>
      <c r="B12" s="67">
        <v>7.248</v>
      </c>
      <c r="C12" s="28">
        <v>91.9793966151582</v>
      </c>
      <c r="D12" s="28">
        <v>94.97772364874665</v>
      </c>
      <c r="E12" s="67">
        <v>7.104</v>
      </c>
      <c r="F12" s="55">
        <v>0.9684312603166078</v>
      </c>
    </row>
    <row r="13" spans="1:6" ht="12.75">
      <c r="A13" s="68">
        <v>1502</v>
      </c>
      <c r="B13" s="67">
        <v>7.248</v>
      </c>
      <c r="C13" s="28">
        <v>91.9793966151582</v>
      </c>
      <c r="D13" s="28">
        <v>94.97772364874665</v>
      </c>
      <c r="E13" s="67">
        <v>7.104</v>
      </c>
      <c r="F13" s="55">
        <v>0.9684312603166078</v>
      </c>
    </row>
    <row r="14" spans="1:6" ht="12.75">
      <c r="A14" s="68">
        <v>1503</v>
      </c>
      <c r="B14" s="67">
        <v>7.248</v>
      </c>
      <c r="C14" s="28">
        <v>91.9793966151582</v>
      </c>
      <c r="D14" s="28">
        <v>94.97772364874665</v>
      </c>
      <c r="E14" s="67">
        <v>7.104</v>
      </c>
      <c r="F14" s="55">
        <v>0.9684312603166078</v>
      </c>
    </row>
    <row r="15" spans="1:6" ht="12.75">
      <c r="A15" s="68">
        <v>1504</v>
      </c>
      <c r="B15" s="67">
        <v>7.248</v>
      </c>
      <c r="C15" s="28">
        <v>91.9793966151582</v>
      </c>
      <c r="D15" s="28">
        <v>94.97772364874665</v>
      </c>
      <c r="E15" s="67">
        <v>7.104</v>
      </c>
      <c r="F15" s="55">
        <v>0.9684312603166078</v>
      </c>
    </row>
    <row r="16" spans="1:6" ht="12.75">
      <c r="A16" s="68">
        <v>1505</v>
      </c>
      <c r="B16" s="67">
        <v>7.248</v>
      </c>
      <c r="C16" s="28">
        <v>91.9793966151582</v>
      </c>
      <c r="D16" s="28">
        <v>94.97772364874665</v>
      </c>
      <c r="E16" s="67">
        <v>7.104</v>
      </c>
      <c r="F16" s="55">
        <v>0.9684312603166078</v>
      </c>
    </row>
    <row r="17" spans="1:6" ht="12.75">
      <c r="A17" s="68">
        <v>1506</v>
      </c>
      <c r="B17" s="67">
        <v>7.248</v>
      </c>
      <c r="C17" s="28">
        <v>91.9793966151582</v>
      </c>
      <c r="D17" s="28">
        <v>94.97772364874665</v>
      </c>
      <c r="E17" s="67">
        <v>7.104</v>
      </c>
      <c r="F17" s="55">
        <v>0.9684312603166078</v>
      </c>
    </row>
    <row r="18" spans="1:6" ht="12.75">
      <c r="A18" s="68">
        <v>1507</v>
      </c>
      <c r="B18" s="67">
        <v>7.248</v>
      </c>
      <c r="C18" s="28">
        <v>91.9793966151582</v>
      </c>
      <c r="D18" s="28">
        <v>94.97772364874665</v>
      </c>
      <c r="E18" s="67">
        <v>7.104</v>
      </c>
      <c r="F18" s="55">
        <v>0.9684312603166078</v>
      </c>
    </row>
    <row r="19" spans="1:6" ht="12.75">
      <c r="A19" s="68">
        <v>1508</v>
      </c>
      <c r="B19" s="67">
        <v>7.248</v>
      </c>
      <c r="C19" s="28">
        <v>91.9793966151582</v>
      </c>
      <c r="D19" s="28">
        <v>94.97772364874665</v>
      </c>
      <c r="E19" s="67">
        <v>7.104</v>
      </c>
      <c r="F19" s="55">
        <v>0.9684312603166078</v>
      </c>
    </row>
    <row r="20" spans="1:6" ht="12.75">
      <c r="A20" s="68">
        <v>1509</v>
      </c>
      <c r="B20" s="67">
        <v>7.248</v>
      </c>
      <c r="C20" s="28">
        <v>91.9793966151582</v>
      </c>
      <c r="D20" s="28">
        <v>94.97772364874665</v>
      </c>
      <c r="E20" s="67">
        <v>7.104</v>
      </c>
      <c r="F20" s="55">
        <v>0.9684312603166078</v>
      </c>
    </row>
    <row r="21" spans="1:6" ht="12.75">
      <c r="A21" s="68">
        <v>1510</v>
      </c>
      <c r="B21" s="67">
        <v>7.248</v>
      </c>
      <c r="C21" s="28">
        <v>91.9793966151582</v>
      </c>
      <c r="D21" s="28">
        <v>94.97772364874665</v>
      </c>
      <c r="E21" s="67">
        <v>7.104</v>
      </c>
      <c r="F21" s="55">
        <v>0.9684312603166078</v>
      </c>
    </row>
    <row r="22" spans="1:6" ht="12.75">
      <c r="A22" s="68">
        <v>1511</v>
      </c>
      <c r="B22" s="67">
        <v>7.248</v>
      </c>
      <c r="C22" s="28">
        <v>91.9793966151582</v>
      </c>
      <c r="D22" s="28">
        <v>94.97772364874665</v>
      </c>
      <c r="E22" s="67">
        <v>7.104</v>
      </c>
      <c r="F22" s="55">
        <v>0.9684312603166078</v>
      </c>
    </row>
    <row r="23" spans="1:6" ht="12.75">
      <c r="A23" s="68">
        <v>1512</v>
      </c>
      <c r="B23" s="67">
        <v>7.152</v>
      </c>
      <c r="C23" s="28">
        <v>93.21401938851604</v>
      </c>
      <c r="D23" s="28">
        <v>94.97772364874665</v>
      </c>
      <c r="E23" s="67">
        <v>7.104</v>
      </c>
      <c r="F23" s="55">
        <v>0.9814303376362938</v>
      </c>
    </row>
    <row r="24" spans="1:6" ht="12.75">
      <c r="A24" s="68">
        <v>1513</v>
      </c>
      <c r="B24" s="67">
        <v>7.152</v>
      </c>
      <c r="C24" s="28">
        <v>93.21401938851604</v>
      </c>
      <c r="D24" s="28">
        <v>94.97772364874665</v>
      </c>
      <c r="E24" s="67">
        <v>7.104</v>
      </c>
      <c r="F24" s="55">
        <v>0.9814303376362938</v>
      </c>
    </row>
    <row r="25" spans="1:6" ht="12.75">
      <c r="A25" s="68">
        <v>1514</v>
      </c>
      <c r="B25" s="67">
        <v>7.056</v>
      </c>
      <c r="C25" s="28">
        <v>94.4822373393802</v>
      </c>
      <c r="D25" s="28">
        <v>94.97772364874665</v>
      </c>
      <c r="E25" s="67">
        <v>7.104</v>
      </c>
      <c r="F25" s="55">
        <v>0.9947831313456312</v>
      </c>
    </row>
    <row r="26" spans="1:6" ht="12.75">
      <c r="A26" s="68">
        <v>1515</v>
      </c>
      <c r="B26" s="67">
        <v>7.056</v>
      </c>
      <c r="C26" s="28">
        <v>94.4822373393802</v>
      </c>
      <c r="D26" s="28">
        <v>94.97772364874665</v>
      </c>
      <c r="E26" s="67">
        <v>7.104</v>
      </c>
      <c r="F26" s="55">
        <v>0.9947831313456312</v>
      </c>
    </row>
    <row r="27" spans="1:6" ht="12.75">
      <c r="A27" s="68">
        <v>1516</v>
      </c>
      <c r="B27" s="67">
        <v>7.056</v>
      </c>
      <c r="C27" s="28">
        <v>94.4822373393802</v>
      </c>
      <c r="D27" s="28">
        <v>94.97772364874665</v>
      </c>
      <c r="E27" s="67">
        <v>7.104</v>
      </c>
      <c r="F27" s="55">
        <v>0.9947831313456312</v>
      </c>
    </row>
    <row r="28" spans="1:6" ht="12.75">
      <c r="A28" s="68">
        <v>1517</v>
      </c>
      <c r="B28" s="67">
        <v>6.96</v>
      </c>
      <c r="C28" s="28">
        <v>95.78544061302681</v>
      </c>
      <c r="D28" s="28">
        <v>94.97772364874665</v>
      </c>
      <c r="E28" s="67">
        <v>7.104</v>
      </c>
      <c r="F28" s="55">
        <v>1.0085042779848812</v>
      </c>
    </row>
    <row r="29" spans="1:6" ht="12.75">
      <c r="A29" s="68">
        <v>1518</v>
      </c>
      <c r="B29" s="67">
        <v>6.96</v>
      </c>
      <c r="C29" s="28">
        <v>95.78544061302681</v>
      </c>
      <c r="D29" s="28">
        <v>94.97772364874665</v>
      </c>
      <c r="E29" s="67">
        <v>7.104</v>
      </c>
      <c r="F29" s="55">
        <v>1.0085042779848812</v>
      </c>
    </row>
    <row r="30" spans="1:6" ht="12.75">
      <c r="A30" s="68">
        <v>1519</v>
      </c>
      <c r="B30" s="67">
        <v>6.96</v>
      </c>
      <c r="C30" s="28">
        <v>95.78544061302681</v>
      </c>
      <c r="D30" s="28">
        <v>94.97772364874665</v>
      </c>
      <c r="E30" s="67">
        <v>7.104</v>
      </c>
      <c r="F30" s="55">
        <v>1.0085042779848812</v>
      </c>
    </row>
    <row r="31" spans="1:6" ht="12.75">
      <c r="A31" s="68">
        <v>1520</v>
      </c>
      <c r="B31" s="67">
        <v>6.96</v>
      </c>
      <c r="C31" s="28">
        <v>95.78544061302681</v>
      </c>
      <c r="D31" s="28">
        <v>94.97772364874665</v>
      </c>
      <c r="E31" s="67">
        <v>7.104</v>
      </c>
      <c r="F31" s="55">
        <v>1.0085042779848812</v>
      </c>
    </row>
    <row r="32" spans="1:6" ht="12.75">
      <c r="A32" s="68">
        <v>1521</v>
      </c>
      <c r="B32" s="67">
        <v>6.5280000000000005</v>
      </c>
      <c r="C32" s="28">
        <v>102.12418300653594</v>
      </c>
      <c r="D32" s="28">
        <v>102.96098636624937</v>
      </c>
      <c r="E32" s="67">
        <v>6.624</v>
      </c>
      <c r="F32" s="55">
        <v>0.9918726171023966</v>
      </c>
    </row>
    <row r="33" spans="1:6" ht="12.75">
      <c r="A33" s="68">
        <v>1522</v>
      </c>
      <c r="B33" s="67">
        <v>6.192</v>
      </c>
      <c r="C33" s="28">
        <v>107.66580534022394</v>
      </c>
      <c r="D33" s="28">
        <v>102.96098636624937</v>
      </c>
      <c r="E33" s="67">
        <v>6.624</v>
      </c>
      <c r="F33" s="55">
        <v>1.04569516221648</v>
      </c>
    </row>
    <row r="34" spans="1:6" ht="12.75">
      <c r="A34" s="68">
        <v>1523</v>
      </c>
      <c r="B34" s="67">
        <v>6.144</v>
      </c>
      <c r="C34" s="28">
        <v>108.50694444444444</v>
      </c>
      <c r="D34" s="28">
        <v>102.96098636624937</v>
      </c>
      <c r="E34" s="67">
        <v>6.3839999999999995</v>
      </c>
      <c r="F34" s="55">
        <v>1.0538646556712965</v>
      </c>
    </row>
    <row r="35" spans="1:6" ht="12.75">
      <c r="A35" s="68">
        <v>1524</v>
      </c>
      <c r="B35" s="67">
        <v>6.048</v>
      </c>
      <c r="C35" s="28">
        <v>110.22927689594356</v>
      </c>
      <c r="D35" s="28">
        <v>102.96098636624937</v>
      </c>
      <c r="E35" s="67">
        <v>6.3839999999999995</v>
      </c>
      <c r="F35" s="55">
        <v>1.0705926660787772</v>
      </c>
    </row>
    <row r="36" spans="1:6" ht="12.75">
      <c r="A36" s="68">
        <v>1525</v>
      </c>
      <c r="B36" s="67">
        <v>5.928</v>
      </c>
      <c r="C36" s="28">
        <v>112.46063877642825</v>
      </c>
      <c r="D36" s="28">
        <v>102.96098636624937</v>
      </c>
      <c r="E36" s="67">
        <v>6.3839999999999995</v>
      </c>
      <c r="F36" s="55">
        <v>1.0922645823961616</v>
      </c>
    </row>
    <row r="37" spans="1:6" ht="12.75">
      <c r="A37" s="68">
        <v>1526</v>
      </c>
      <c r="B37" s="67">
        <v>6.328</v>
      </c>
      <c r="C37" s="28">
        <v>105.35187526337968</v>
      </c>
      <c r="D37" s="28">
        <v>102.96098636624937</v>
      </c>
      <c r="E37" s="67">
        <v>6.3839999999999995</v>
      </c>
      <c r="F37" s="55">
        <v>1.0232213091726368</v>
      </c>
    </row>
    <row r="38" spans="1:6" ht="12.75">
      <c r="A38" s="68">
        <v>1527</v>
      </c>
      <c r="B38" s="67">
        <v>7.032</v>
      </c>
      <c r="C38" s="28">
        <v>94.80470231323471</v>
      </c>
      <c r="D38" s="28">
        <v>102.96098636624937</v>
      </c>
      <c r="E38" s="67">
        <v>7.032</v>
      </c>
      <c r="F38" s="55">
        <v>0.9207827708254329</v>
      </c>
    </row>
    <row r="39" spans="1:6" ht="12.75">
      <c r="A39" s="68">
        <v>1528</v>
      </c>
      <c r="B39" s="67">
        <v>7.032</v>
      </c>
      <c r="C39" s="28">
        <v>94.80470231323471</v>
      </c>
      <c r="D39" s="28">
        <v>102.96098636624937</v>
      </c>
      <c r="E39" s="67">
        <v>7.032</v>
      </c>
      <c r="F39" s="55">
        <v>0.9207827708254329</v>
      </c>
    </row>
    <row r="40" spans="1:6" ht="12.75">
      <c r="A40" s="68">
        <v>1529</v>
      </c>
      <c r="B40" s="67">
        <v>6.912</v>
      </c>
      <c r="C40" s="28">
        <v>96.45061728395062</v>
      </c>
      <c r="D40" s="28">
        <v>102.96098636624937</v>
      </c>
      <c r="E40" s="67">
        <v>7.032</v>
      </c>
      <c r="F40" s="55">
        <v>0.9367685828189303</v>
      </c>
    </row>
    <row r="41" spans="1:6" ht="12.75">
      <c r="A41" s="68">
        <v>1530</v>
      </c>
      <c r="B41" s="67">
        <v>6.912</v>
      </c>
      <c r="C41" s="28">
        <v>96.45061728395062</v>
      </c>
      <c r="D41" s="28">
        <v>102.96098636624937</v>
      </c>
      <c r="E41" s="67">
        <v>7.032</v>
      </c>
      <c r="F41" s="55">
        <v>0.9367685828189303</v>
      </c>
    </row>
    <row r="42" spans="1:6" ht="12.75">
      <c r="A42" s="68">
        <v>1531</v>
      </c>
      <c r="B42" s="67">
        <v>6.792</v>
      </c>
      <c r="C42" s="28">
        <v>98.15469179426776</v>
      </c>
      <c r="D42" s="28">
        <v>102.96098636624937</v>
      </c>
      <c r="E42" s="67">
        <v>7.032</v>
      </c>
      <c r="F42" s="55">
        <v>0.9533192644941763</v>
      </c>
    </row>
    <row r="43" spans="1:6" ht="12.75">
      <c r="A43" s="68">
        <v>1532</v>
      </c>
      <c r="B43" s="67">
        <v>6.672</v>
      </c>
      <c r="C43" s="28">
        <v>99.92006394884093</v>
      </c>
      <c r="D43" s="28">
        <v>102.96098636624937</v>
      </c>
      <c r="E43" s="67">
        <v>7.032</v>
      </c>
      <c r="F43" s="55">
        <v>0.970465294431122</v>
      </c>
    </row>
    <row r="44" spans="1:6" ht="12.75">
      <c r="A44" s="68">
        <v>1533</v>
      </c>
      <c r="B44" s="67">
        <v>6.5760000000000005</v>
      </c>
      <c r="C44" s="28">
        <v>101.37875101378751</v>
      </c>
      <c r="D44" s="28">
        <v>102.96098636624937</v>
      </c>
      <c r="E44" s="67">
        <v>7.032</v>
      </c>
      <c r="F44" s="55">
        <v>0.9846326709921601</v>
      </c>
    </row>
    <row r="45" spans="1:6" ht="12.75">
      <c r="A45" s="68">
        <v>1534</v>
      </c>
      <c r="B45" s="67">
        <v>6.48</v>
      </c>
      <c r="C45" s="28">
        <v>102.88065843621399</v>
      </c>
      <c r="D45" s="28">
        <v>102.96098636624937</v>
      </c>
      <c r="E45" s="67">
        <v>7.032</v>
      </c>
      <c r="F45" s="55">
        <v>0.9992198216735255</v>
      </c>
    </row>
    <row r="46" spans="1:6" ht="12.75">
      <c r="A46" s="68">
        <v>1535</v>
      </c>
      <c r="B46" s="67">
        <v>6.48</v>
      </c>
      <c r="C46" s="28">
        <v>102.88065843621399</v>
      </c>
      <c r="D46" s="28">
        <v>102.96098636624937</v>
      </c>
      <c r="E46" s="67">
        <v>7.032</v>
      </c>
      <c r="F46" s="55">
        <v>0.9992198216735255</v>
      </c>
    </row>
    <row r="47" spans="1:6" ht="12.75">
      <c r="A47" s="68">
        <v>1536</v>
      </c>
      <c r="B47" s="67">
        <v>6.3839999999999995</v>
      </c>
      <c r="C47" s="28">
        <v>104.42773600668339</v>
      </c>
      <c r="D47" s="28">
        <v>102.96098636624937</v>
      </c>
      <c r="E47" s="67">
        <v>7.032</v>
      </c>
      <c r="F47" s="55">
        <v>1.0142456836535787</v>
      </c>
    </row>
    <row r="48" spans="1:6" ht="12.75">
      <c r="A48" s="68">
        <v>1537</v>
      </c>
      <c r="B48" s="67">
        <v>6.3839999999999995</v>
      </c>
      <c r="C48" s="28">
        <v>104.42773600668339</v>
      </c>
      <c r="D48" s="28">
        <v>102.96098636624937</v>
      </c>
      <c r="E48" s="67">
        <v>7.032</v>
      </c>
      <c r="F48" s="55">
        <v>1.0142456836535787</v>
      </c>
    </row>
    <row r="49" spans="1:6" ht="12.75">
      <c r="A49" s="68">
        <v>1538</v>
      </c>
      <c r="B49" s="67">
        <v>6.528</v>
      </c>
      <c r="C49" s="28">
        <v>102.12418300653594</v>
      </c>
      <c r="D49" s="28">
        <v>102.96098636624937</v>
      </c>
      <c r="E49" s="67">
        <v>7.032</v>
      </c>
      <c r="F49" s="55">
        <v>0.9918726171023966</v>
      </c>
    </row>
    <row r="50" spans="1:6" ht="12.75">
      <c r="A50" s="68">
        <v>1539</v>
      </c>
      <c r="B50" s="67">
        <v>7.032</v>
      </c>
      <c r="C50" s="28">
        <v>94.80470231323471</v>
      </c>
      <c r="D50" s="28">
        <v>102.96098636624937</v>
      </c>
      <c r="E50" s="67">
        <v>7.032</v>
      </c>
      <c r="F50" s="55">
        <v>0.9207827708254329</v>
      </c>
    </row>
    <row r="51" spans="1:6" ht="12.75">
      <c r="A51" s="68">
        <v>1540</v>
      </c>
      <c r="B51" s="67">
        <v>6.912</v>
      </c>
      <c r="C51" s="28">
        <v>96.45061728395062</v>
      </c>
      <c r="D51" s="28">
        <v>102.96098636624937</v>
      </c>
      <c r="E51" s="67">
        <v>7.032</v>
      </c>
      <c r="F51" s="55">
        <v>0.9367685828189303</v>
      </c>
    </row>
    <row r="52" spans="1:3" ht="12.75">
      <c r="A52" s="68"/>
      <c r="B52" s="67"/>
      <c r="C52" s="35"/>
    </row>
    <row r="53" spans="1:3" ht="12.75">
      <c r="A53" s="68"/>
      <c r="B53" s="67"/>
      <c r="C53" s="35"/>
    </row>
    <row r="54" spans="1:3" ht="12.75">
      <c r="A54" s="68"/>
      <c r="B54" s="67" t="s">
        <v>291</v>
      </c>
      <c r="C54" s="35"/>
    </row>
    <row r="55" spans="1:3" ht="12.75">
      <c r="A55" s="68"/>
      <c r="B55" s="67" t="s">
        <v>292</v>
      </c>
      <c r="C55" s="35"/>
    </row>
    <row r="56" spans="1:3" ht="12.75">
      <c r="A56" s="68"/>
      <c r="B56" s="67" t="s">
        <v>293</v>
      </c>
      <c r="C56" s="35"/>
    </row>
    <row r="57" ht="12.75">
      <c r="B57" t="s">
        <v>294</v>
      </c>
    </row>
    <row r="59" ht="12.75">
      <c r="B59" t="s">
        <v>295</v>
      </c>
    </row>
    <row r="60" ht="12.75">
      <c r="B60" s="70" t="s">
        <v>296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"/>
    </sheetView>
  </sheetViews>
  <sheetFormatPr defaultColWidth="9.140625" defaultRowHeight="12.75"/>
  <cols>
    <col min="2" max="2" width="12.140625" style="71" customWidth="1"/>
    <col min="3" max="4" width="8.140625" style="0" customWidth="1"/>
    <col min="6" max="6" width="12.140625" style="35" customWidth="1"/>
    <col min="7" max="8" width="8.421875" style="35" customWidth="1"/>
    <col min="10" max="10" width="10.140625" style="72" customWidth="1"/>
    <col min="11" max="12" width="8.421875" style="72" customWidth="1"/>
    <col min="13" max="13" width="6.7109375" style="72" customWidth="1"/>
    <col min="14" max="14" width="12.28125" style="72" customWidth="1"/>
  </cols>
  <sheetData>
    <row r="1" ht="12.75">
      <c r="D1" s="31" t="s">
        <v>297</v>
      </c>
    </row>
    <row r="3" spans="1:11" ht="12.75">
      <c r="A3" s="31"/>
      <c r="B3" s="73"/>
      <c r="C3" s="31" t="s">
        <v>298</v>
      </c>
      <c r="D3" s="31"/>
      <c r="F3" s="33"/>
      <c r="G3" s="33" t="s">
        <v>298</v>
      </c>
      <c r="H3" s="33"/>
      <c r="K3" s="74" t="s">
        <v>298</v>
      </c>
    </row>
    <row r="4" spans="1:10" ht="12.75">
      <c r="A4" s="31"/>
      <c r="B4" s="73" t="s">
        <v>299</v>
      </c>
      <c r="C4" s="31"/>
      <c r="D4" s="31"/>
      <c r="F4" s="33" t="s">
        <v>300</v>
      </c>
      <c r="G4" s="33"/>
      <c r="H4" s="33"/>
      <c r="J4" s="74" t="s">
        <v>300</v>
      </c>
    </row>
    <row r="5" spans="1:14" ht="12.75">
      <c r="A5" s="31" t="s">
        <v>123</v>
      </c>
      <c r="B5" s="73" t="s">
        <v>301</v>
      </c>
      <c r="C5" s="31" t="s">
        <v>212</v>
      </c>
      <c r="D5" s="31" t="s">
        <v>298</v>
      </c>
      <c r="F5" s="33" t="s">
        <v>302</v>
      </c>
      <c r="G5" s="33" t="s">
        <v>212</v>
      </c>
      <c r="H5" s="33" t="s">
        <v>298</v>
      </c>
      <c r="J5" s="74" t="s">
        <v>303</v>
      </c>
      <c r="K5" s="74" t="s">
        <v>304</v>
      </c>
      <c r="L5" s="74" t="s">
        <v>260</v>
      </c>
      <c r="M5" s="74" t="s">
        <v>305</v>
      </c>
      <c r="N5" s="74" t="s">
        <v>255</v>
      </c>
    </row>
    <row r="6" spans="2:14" ht="12.75">
      <c r="B6" s="73" t="s">
        <v>306</v>
      </c>
      <c r="C6" s="31" t="s">
        <v>260</v>
      </c>
      <c r="D6" s="31" t="s">
        <v>255</v>
      </c>
      <c r="F6" s="31" t="s">
        <v>306</v>
      </c>
      <c r="G6" s="33" t="s">
        <v>260</v>
      </c>
      <c r="H6" s="33" t="s">
        <v>255</v>
      </c>
      <c r="J6" s="74" t="s">
        <v>307</v>
      </c>
      <c r="K6" s="74" t="s">
        <v>307</v>
      </c>
      <c r="L6" s="74" t="s">
        <v>308</v>
      </c>
      <c r="M6" s="74" t="s">
        <v>309</v>
      </c>
      <c r="N6" s="74" t="s">
        <v>298</v>
      </c>
    </row>
    <row r="8" spans="1:14" ht="12.75">
      <c r="A8" s="68">
        <v>1500</v>
      </c>
      <c r="B8" s="50">
        <v>0.9773119267433987</v>
      </c>
      <c r="C8" s="50">
        <v>1.0227682957848838</v>
      </c>
      <c r="D8" s="30">
        <v>0.719268488888889</v>
      </c>
      <c r="F8" s="35">
        <v>2</v>
      </c>
      <c r="G8" s="35">
        <v>2.093023256541962</v>
      </c>
      <c r="H8" s="35">
        <v>1.4719322852953145</v>
      </c>
      <c r="J8" s="72">
        <v>50</v>
      </c>
      <c r="L8" s="72">
        <v>71</v>
      </c>
      <c r="M8" s="72">
        <v>79</v>
      </c>
      <c r="N8" s="72">
        <v>116</v>
      </c>
    </row>
    <row r="9" spans="1:14" ht="12.75">
      <c r="A9" s="68">
        <v>1501</v>
      </c>
      <c r="B9" s="50">
        <v>0.9773119267433987</v>
      </c>
      <c r="C9" s="50">
        <v>1.0227682957848838</v>
      </c>
      <c r="D9" s="30">
        <v>0.719268488888889</v>
      </c>
      <c r="F9" s="35">
        <v>2</v>
      </c>
      <c r="G9" s="35">
        <v>2.093023256541962</v>
      </c>
      <c r="H9" s="35">
        <v>1.4719322852953145</v>
      </c>
      <c r="J9" s="72">
        <v>50</v>
      </c>
      <c r="L9" s="72">
        <v>71</v>
      </c>
      <c r="M9" s="72">
        <v>79</v>
      </c>
      <c r="N9" s="72">
        <v>116</v>
      </c>
    </row>
    <row r="10" spans="1:14" ht="12.75">
      <c r="A10" s="68">
        <v>1502</v>
      </c>
      <c r="B10" s="50">
        <v>0.9773119267433987</v>
      </c>
      <c r="C10" s="50">
        <v>1.0227682957848838</v>
      </c>
      <c r="D10" s="30">
        <v>0.719268488888889</v>
      </c>
      <c r="F10" s="35">
        <v>2</v>
      </c>
      <c r="G10" s="35">
        <v>2.093023256541962</v>
      </c>
      <c r="H10" s="35">
        <v>1.4719322852953145</v>
      </c>
      <c r="J10" s="72">
        <v>50</v>
      </c>
      <c r="L10" s="72">
        <v>71</v>
      </c>
      <c r="M10" s="72">
        <v>79</v>
      </c>
      <c r="N10" s="72">
        <v>116</v>
      </c>
    </row>
    <row r="11" spans="1:14" ht="12.75">
      <c r="A11" s="68">
        <v>1503</v>
      </c>
      <c r="B11" s="50">
        <v>0.9773119267433987</v>
      </c>
      <c r="C11" s="50">
        <v>1.0227682957848838</v>
      </c>
      <c r="D11" s="30">
        <v>0.719268488888889</v>
      </c>
      <c r="F11" s="35">
        <v>2</v>
      </c>
      <c r="G11" s="35">
        <v>2.093023256541962</v>
      </c>
      <c r="H11" s="35">
        <v>1.4719322852953145</v>
      </c>
      <c r="J11" s="72">
        <v>50</v>
      </c>
      <c r="L11" s="72">
        <v>71</v>
      </c>
      <c r="M11" s="72">
        <v>79</v>
      </c>
      <c r="N11" s="72">
        <v>116</v>
      </c>
    </row>
    <row r="12" spans="1:14" ht="12.75">
      <c r="A12" s="68">
        <v>1504</v>
      </c>
      <c r="B12" s="50">
        <v>0.9773119267433987</v>
      </c>
      <c r="C12" s="50">
        <v>1.0227682957848838</v>
      </c>
      <c r="D12" s="30">
        <v>0.719268488888889</v>
      </c>
      <c r="F12" s="35">
        <v>2</v>
      </c>
      <c r="G12" s="35">
        <v>2.093023256541962</v>
      </c>
      <c r="H12" s="35">
        <v>1.4719322852953145</v>
      </c>
      <c r="J12" s="72">
        <v>50</v>
      </c>
      <c r="L12" s="72">
        <v>71</v>
      </c>
      <c r="M12" s="72">
        <v>79</v>
      </c>
      <c r="N12" s="72">
        <v>116</v>
      </c>
    </row>
    <row r="13" spans="1:14" ht="12.75">
      <c r="A13" s="68">
        <v>1505</v>
      </c>
      <c r="B13" s="50">
        <v>0.9773119267433987</v>
      </c>
      <c r="C13" s="50">
        <v>1.0227682957848838</v>
      </c>
      <c r="D13" s="30">
        <v>0.719268488888889</v>
      </c>
      <c r="F13" s="35">
        <v>2</v>
      </c>
      <c r="G13" s="35">
        <v>2.093023256541962</v>
      </c>
      <c r="H13" s="35">
        <v>1.4719322852953145</v>
      </c>
      <c r="J13" s="72">
        <v>50</v>
      </c>
      <c r="L13" s="72">
        <v>71</v>
      </c>
      <c r="M13" s="72">
        <v>79</v>
      </c>
      <c r="N13" s="72">
        <v>116</v>
      </c>
    </row>
    <row r="14" spans="1:14" ht="12.75">
      <c r="A14" s="68">
        <v>1506</v>
      </c>
      <c r="B14" s="50">
        <v>0.9773119267433987</v>
      </c>
      <c r="C14" s="50">
        <v>1.0227682957848838</v>
      </c>
      <c r="D14" s="30">
        <v>0.719268488888889</v>
      </c>
      <c r="F14" s="35">
        <v>2</v>
      </c>
      <c r="G14" s="35">
        <v>2.093023256541962</v>
      </c>
      <c r="H14" s="35">
        <v>1.4719322852953145</v>
      </c>
      <c r="J14" s="72">
        <v>50</v>
      </c>
      <c r="L14" s="72">
        <v>71</v>
      </c>
      <c r="M14" s="72">
        <v>79</v>
      </c>
      <c r="N14" s="72">
        <v>116</v>
      </c>
    </row>
    <row r="15" spans="1:14" ht="12.75">
      <c r="A15" s="68">
        <v>1507</v>
      </c>
      <c r="B15" s="50">
        <v>0.9773119267433987</v>
      </c>
      <c r="C15" s="50">
        <v>1.0227682957848838</v>
      </c>
      <c r="D15" s="30">
        <v>0.719268488888889</v>
      </c>
      <c r="F15" s="35">
        <v>2</v>
      </c>
      <c r="G15" s="35">
        <v>2.093023256541962</v>
      </c>
      <c r="H15" s="35">
        <v>1.4719322852953145</v>
      </c>
      <c r="J15" s="72">
        <v>50</v>
      </c>
      <c r="L15" s="72">
        <v>71</v>
      </c>
      <c r="M15" s="72">
        <v>79</v>
      </c>
      <c r="N15" s="72">
        <v>116</v>
      </c>
    </row>
    <row r="16" spans="1:14" ht="12.75">
      <c r="A16" s="68">
        <v>1508</v>
      </c>
      <c r="B16" s="50">
        <v>0.9773119267433987</v>
      </c>
      <c r="C16" s="50">
        <v>1.0227682957848838</v>
      </c>
      <c r="D16" s="30">
        <v>0.719268488888889</v>
      </c>
      <c r="F16" s="35">
        <v>2</v>
      </c>
      <c r="G16" s="35">
        <v>2.093023256541962</v>
      </c>
      <c r="H16" s="35">
        <v>1.4719322852953145</v>
      </c>
      <c r="J16" s="72">
        <v>50</v>
      </c>
      <c r="L16" s="72">
        <v>71</v>
      </c>
      <c r="M16" s="72">
        <v>79</v>
      </c>
      <c r="N16" s="72">
        <v>116</v>
      </c>
    </row>
    <row r="17" spans="1:14" ht="12.75">
      <c r="A17" s="68">
        <v>1509</v>
      </c>
      <c r="B17" s="50">
        <v>0.9773119267433987</v>
      </c>
      <c r="C17" s="50">
        <v>1.0227682957848838</v>
      </c>
      <c r="D17" s="30">
        <v>0.719268488888889</v>
      </c>
      <c r="F17" s="35">
        <v>2</v>
      </c>
      <c r="G17" s="35">
        <v>2.093023256541962</v>
      </c>
      <c r="H17" s="35">
        <v>1.4719322852953145</v>
      </c>
      <c r="J17" s="72">
        <v>50</v>
      </c>
      <c r="L17" s="72">
        <v>71</v>
      </c>
      <c r="M17" s="72">
        <v>79</v>
      </c>
      <c r="N17" s="72">
        <v>116</v>
      </c>
    </row>
    <row r="18" spans="1:14" ht="12.75">
      <c r="A18" s="68">
        <v>1510</v>
      </c>
      <c r="B18" s="50">
        <v>0.9773119267433987</v>
      </c>
      <c r="C18" s="50">
        <v>1.0227682957848838</v>
      </c>
      <c r="D18" s="30">
        <v>0.719268488888889</v>
      </c>
      <c r="F18" s="35">
        <v>2</v>
      </c>
      <c r="G18" s="35">
        <v>2.093023256541962</v>
      </c>
      <c r="H18" s="35">
        <v>1.4719322852953145</v>
      </c>
      <c r="J18" s="72">
        <v>50</v>
      </c>
      <c r="L18" s="72">
        <v>71</v>
      </c>
      <c r="M18" s="72">
        <v>79</v>
      </c>
      <c r="N18" s="72">
        <v>116</v>
      </c>
    </row>
    <row r="19" spans="1:14" ht="12.75">
      <c r="A19" s="68">
        <v>1511</v>
      </c>
      <c r="B19" s="50">
        <v>0.9773119267433987</v>
      </c>
      <c r="C19" s="50">
        <v>1.0227682957848838</v>
      </c>
      <c r="D19" s="30">
        <v>0.719268488888889</v>
      </c>
      <c r="F19" s="35">
        <v>2</v>
      </c>
      <c r="G19" s="35">
        <v>2.093023256541962</v>
      </c>
      <c r="H19" s="35">
        <v>1.4719322852953145</v>
      </c>
      <c r="J19" s="72">
        <v>50</v>
      </c>
      <c r="L19" s="72">
        <v>71</v>
      </c>
      <c r="M19" s="72">
        <v>79</v>
      </c>
      <c r="N19" s="72">
        <v>116</v>
      </c>
    </row>
    <row r="20" spans="1:14" ht="12.75">
      <c r="A20" s="68">
        <v>1512</v>
      </c>
      <c r="B20" s="50">
        <v>0.9773119267433987</v>
      </c>
      <c r="C20" s="50">
        <v>1.0227682957848838</v>
      </c>
      <c r="D20" s="30">
        <v>0.719268488888889</v>
      </c>
      <c r="F20" s="35">
        <v>2</v>
      </c>
      <c r="G20" s="35">
        <v>2.093023256541962</v>
      </c>
      <c r="H20" s="35">
        <v>1.4719322852953145</v>
      </c>
      <c r="J20" s="72">
        <v>50</v>
      </c>
      <c r="L20" s="72">
        <v>71</v>
      </c>
      <c r="M20" s="72">
        <v>79</v>
      </c>
      <c r="N20" s="72">
        <v>116</v>
      </c>
    </row>
    <row r="21" spans="1:14" ht="12.75">
      <c r="A21" s="68">
        <v>1513</v>
      </c>
      <c r="B21" s="50">
        <v>0.9773119267433987</v>
      </c>
      <c r="C21" s="50">
        <v>1.0227682957848838</v>
      </c>
      <c r="D21" s="30">
        <v>0.719268488888889</v>
      </c>
      <c r="F21" s="35">
        <v>2</v>
      </c>
      <c r="G21" s="35">
        <v>2.093023256541962</v>
      </c>
      <c r="H21" s="35">
        <v>1.4719322852953145</v>
      </c>
      <c r="J21" s="72">
        <v>50</v>
      </c>
      <c r="L21" s="72">
        <v>71</v>
      </c>
      <c r="M21" s="72">
        <v>79</v>
      </c>
      <c r="N21" s="72">
        <v>116</v>
      </c>
    </row>
    <row r="22" spans="1:14" ht="12.75">
      <c r="A22" s="68">
        <v>1514</v>
      </c>
      <c r="B22" s="50">
        <v>0.9773119267433987</v>
      </c>
      <c r="C22" s="50">
        <v>1.0227682957848838</v>
      </c>
      <c r="D22" s="30">
        <v>0.719268488888889</v>
      </c>
      <c r="F22" s="35">
        <v>2</v>
      </c>
      <c r="G22" s="35">
        <v>2.093023256541962</v>
      </c>
      <c r="H22" s="35">
        <v>1.4719322852953145</v>
      </c>
      <c r="J22" s="72">
        <v>50</v>
      </c>
      <c r="L22" s="72">
        <v>71</v>
      </c>
      <c r="M22" s="72">
        <v>79</v>
      </c>
      <c r="N22" s="72">
        <v>116</v>
      </c>
    </row>
    <row r="23" spans="1:14" ht="12.75">
      <c r="A23" s="68">
        <v>1515</v>
      </c>
      <c r="B23" s="50">
        <v>0.9773119267433987</v>
      </c>
      <c r="C23" s="50">
        <v>1.0227682957848838</v>
      </c>
      <c r="D23" s="30">
        <v>0.719268488888889</v>
      </c>
      <c r="F23" s="35">
        <v>2</v>
      </c>
      <c r="G23" s="35">
        <v>2.093023256541962</v>
      </c>
      <c r="H23" s="35">
        <v>1.4719322852953145</v>
      </c>
      <c r="J23" s="72">
        <v>50</v>
      </c>
      <c r="L23" s="72">
        <v>71</v>
      </c>
      <c r="M23" s="72">
        <v>79</v>
      </c>
      <c r="N23" s="72">
        <v>116</v>
      </c>
    </row>
    <row r="24" spans="1:14" ht="12.75">
      <c r="A24" s="68">
        <v>1516</v>
      </c>
      <c r="B24" s="50">
        <v>0.9773119267433987</v>
      </c>
      <c r="C24" s="50">
        <v>1.0227682957848838</v>
      </c>
      <c r="D24" s="30">
        <v>0.719268488888889</v>
      </c>
      <c r="F24" s="35">
        <v>2</v>
      </c>
      <c r="G24" s="35">
        <v>2.093023256541962</v>
      </c>
      <c r="H24" s="35">
        <v>1.4719322852953145</v>
      </c>
      <c r="J24" s="72">
        <v>50</v>
      </c>
      <c r="L24" s="72">
        <v>71</v>
      </c>
      <c r="M24" s="72">
        <v>79</v>
      </c>
      <c r="N24" s="72">
        <v>116</v>
      </c>
    </row>
    <row r="25" spans="1:14" ht="12.75">
      <c r="A25" s="68">
        <v>1517</v>
      </c>
      <c r="B25" s="50">
        <v>0.9773119267433987</v>
      </c>
      <c r="C25" s="50">
        <v>1.0227682957848838</v>
      </c>
      <c r="D25" s="30">
        <v>0.719268488888889</v>
      </c>
      <c r="F25" s="35">
        <v>2</v>
      </c>
      <c r="G25" s="35">
        <v>2.093023256541962</v>
      </c>
      <c r="H25" s="35">
        <v>1.4719322852953145</v>
      </c>
      <c r="J25" s="72">
        <v>50</v>
      </c>
      <c r="L25" s="72">
        <v>71</v>
      </c>
      <c r="M25" s="72">
        <v>79</v>
      </c>
      <c r="N25" s="72">
        <v>116</v>
      </c>
    </row>
    <row r="26" spans="1:14" ht="12.75">
      <c r="A26" s="68">
        <v>1518</v>
      </c>
      <c r="B26" s="50">
        <v>0.9773119267433987</v>
      </c>
      <c r="C26" s="50">
        <v>1.0227682957848838</v>
      </c>
      <c r="D26" s="30">
        <v>0.719268488888889</v>
      </c>
      <c r="F26" s="35">
        <v>2</v>
      </c>
      <c r="G26" s="35">
        <v>2.093023256541962</v>
      </c>
      <c r="H26" s="35">
        <v>1.4719322852953145</v>
      </c>
      <c r="J26" s="72">
        <v>50</v>
      </c>
      <c r="L26" s="72">
        <v>71</v>
      </c>
      <c r="M26" s="72">
        <v>79</v>
      </c>
      <c r="N26" s="72">
        <v>116</v>
      </c>
    </row>
    <row r="27" spans="1:14" ht="12.75">
      <c r="A27" s="68">
        <v>1519</v>
      </c>
      <c r="B27" s="50">
        <v>0.9773119267433987</v>
      </c>
      <c r="C27" s="50">
        <v>0.9029512369791667</v>
      </c>
      <c r="D27" s="30">
        <v>0.719268488888889</v>
      </c>
      <c r="F27" s="35">
        <v>2</v>
      </c>
      <c r="G27" s="35">
        <v>1.8478260875992438</v>
      </c>
      <c r="H27" s="35">
        <v>1.4719322852953145</v>
      </c>
      <c r="J27" s="72">
        <v>50</v>
      </c>
      <c r="L27" s="72">
        <v>71</v>
      </c>
      <c r="M27" s="72">
        <v>79</v>
      </c>
      <c r="N27" s="72">
        <v>116</v>
      </c>
    </row>
    <row r="28" spans="1:14" ht="12.75">
      <c r="A28" s="68">
        <v>1520</v>
      </c>
      <c r="B28" s="50">
        <v>0.9773119267433987</v>
      </c>
      <c r="C28" s="50">
        <v>0.9029512369791667</v>
      </c>
      <c r="D28" s="30">
        <v>0.719268488888889</v>
      </c>
      <c r="F28" s="35">
        <v>2</v>
      </c>
      <c r="G28" s="35">
        <v>1.8478260875992438</v>
      </c>
      <c r="H28" s="35">
        <v>1.4719322852953145</v>
      </c>
      <c r="J28" s="72">
        <v>50</v>
      </c>
      <c r="L28" s="72">
        <v>72</v>
      </c>
      <c r="M28" s="72">
        <v>79</v>
      </c>
      <c r="N28" s="72">
        <v>116</v>
      </c>
    </row>
    <row r="29" spans="1:14" ht="12.75">
      <c r="A29" s="68">
        <v>1521</v>
      </c>
      <c r="B29" s="50">
        <v>0.9454430598958334</v>
      </c>
      <c r="C29" s="50">
        <v>0.9029512369791667</v>
      </c>
      <c r="D29" s="30">
        <v>0.719268488888889</v>
      </c>
      <c r="F29" s="35">
        <v>2</v>
      </c>
      <c r="G29" s="35">
        <v>1.9101123595505616</v>
      </c>
      <c r="H29" s="35">
        <v>1.5215479797760347</v>
      </c>
      <c r="J29" s="72">
        <v>54</v>
      </c>
      <c r="K29" s="72">
        <v>42</v>
      </c>
      <c r="L29" s="72">
        <v>76</v>
      </c>
      <c r="M29" s="72">
        <v>80</v>
      </c>
      <c r="N29" s="72">
        <v>119</v>
      </c>
    </row>
    <row r="30" spans="1:14" ht="12.75">
      <c r="A30" s="68">
        <v>1522</v>
      </c>
      <c r="B30" s="50">
        <v>0.9454430598958334</v>
      </c>
      <c r="C30" s="50">
        <v>0.9029512369791667</v>
      </c>
      <c r="D30" s="30">
        <v>0.719268488888889</v>
      </c>
      <c r="F30" s="35">
        <v>2</v>
      </c>
      <c r="G30" s="35">
        <v>1.9101123595505616</v>
      </c>
      <c r="H30" s="35">
        <v>1.5215479797760347</v>
      </c>
      <c r="J30" s="72">
        <v>54</v>
      </c>
      <c r="K30" s="72">
        <v>42</v>
      </c>
      <c r="L30" s="72">
        <v>76</v>
      </c>
      <c r="M30" s="72">
        <v>80</v>
      </c>
      <c r="N30" s="72">
        <v>119</v>
      </c>
    </row>
    <row r="31" spans="1:14" ht="12.75">
      <c r="A31" s="68">
        <v>1523</v>
      </c>
      <c r="B31" s="50">
        <v>0.9454430598958334</v>
      </c>
      <c r="C31" s="50">
        <v>0.9029512369791667</v>
      </c>
      <c r="D31" s="30">
        <v>0.719268488888889</v>
      </c>
      <c r="F31" s="35">
        <v>2</v>
      </c>
      <c r="G31" s="35">
        <v>1.9101123595505616</v>
      </c>
      <c r="H31" s="35">
        <v>1.5215479797760347</v>
      </c>
      <c r="J31" s="72">
        <v>54</v>
      </c>
      <c r="K31" s="72">
        <v>42</v>
      </c>
      <c r="L31" s="72">
        <v>76</v>
      </c>
      <c r="M31" s="72">
        <v>80</v>
      </c>
      <c r="N31" s="72">
        <v>119</v>
      </c>
    </row>
    <row r="32" spans="1:14" ht="12.75">
      <c r="A32" s="68">
        <v>1524</v>
      </c>
      <c r="B32" s="50">
        <v>0.9454430598958334</v>
      </c>
      <c r="C32" s="50">
        <v>0.9029512369791667</v>
      </c>
      <c r="D32" s="30">
        <v>0.719268488888889</v>
      </c>
      <c r="F32" s="35">
        <v>2</v>
      </c>
      <c r="G32" s="35">
        <v>1.9101123595505616</v>
      </c>
      <c r="H32" s="35">
        <v>1.5215479797760347</v>
      </c>
      <c r="J32" s="72">
        <v>54</v>
      </c>
      <c r="K32" s="72">
        <v>42</v>
      </c>
      <c r="L32" s="72">
        <v>76</v>
      </c>
      <c r="M32" s="72">
        <v>80</v>
      </c>
      <c r="N32" s="72">
        <v>119</v>
      </c>
    </row>
    <row r="33" spans="1:14" ht="12.75">
      <c r="A33" s="68">
        <v>1525</v>
      </c>
      <c r="B33" s="50">
        <v>0.9454430598958334</v>
      </c>
      <c r="C33" s="50">
        <v>0.9029512369791667</v>
      </c>
      <c r="D33" s="30">
        <v>0.719268488888889</v>
      </c>
      <c r="F33" s="35">
        <v>2</v>
      </c>
      <c r="G33" s="35">
        <v>1.9101123595505616</v>
      </c>
      <c r="H33" s="35">
        <v>1.5215479797760347</v>
      </c>
      <c r="J33" s="72">
        <v>54</v>
      </c>
      <c r="K33" s="72">
        <v>42</v>
      </c>
      <c r="L33" s="72">
        <v>76</v>
      </c>
      <c r="M33" s="72">
        <v>80</v>
      </c>
      <c r="N33" s="72">
        <v>119</v>
      </c>
    </row>
    <row r="34" spans="1:14" ht="12.75">
      <c r="A34" s="68">
        <v>1526</v>
      </c>
      <c r="B34" s="50">
        <v>0.9454430598958334</v>
      </c>
      <c r="C34" s="50">
        <v>0.9029512369791667</v>
      </c>
      <c r="D34" s="30">
        <v>0.719268488888889</v>
      </c>
      <c r="F34" s="35">
        <v>2</v>
      </c>
      <c r="G34" s="35">
        <v>1.9101123595505616</v>
      </c>
      <c r="H34" s="35">
        <v>1.3523535273537737</v>
      </c>
      <c r="J34" s="72">
        <v>54</v>
      </c>
      <c r="K34" s="72">
        <v>42</v>
      </c>
      <c r="L34" s="72">
        <v>76</v>
      </c>
      <c r="M34" s="72">
        <v>80</v>
      </c>
      <c r="N34" s="72">
        <v>119</v>
      </c>
    </row>
    <row r="35" spans="1:14" ht="12.75">
      <c r="A35" s="68">
        <v>1527</v>
      </c>
      <c r="B35" s="50">
        <v>0.9454430598958334</v>
      </c>
      <c r="C35" s="50">
        <v>0.9029512369791667</v>
      </c>
      <c r="D35" s="30">
        <v>0.6392866284811377</v>
      </c>
      <c r="F35" s="35">
        <v>2</v>
      </c>
      <c r="G35" s="35">
        <v>1.9101123595505616</v>
      </c>
      <c r="H35" s="35">
        <v>1.3523535273537737</v>
      </c>
      <c r="J35" s="72">
        <v>54</v>
      </c>
      <c r="K35" s="72">
        <v>42</v>
      </c>
      <c r="L35" s="72">
        <v>76</v>
      </c>
      <c r="M35" s="72">
        <v>80</v>
      </c>
      <c r="N35" s="72">
        <v>119</v>
      </c>
    </row>
    <row r="36" spans="1:14" ht="12.75">
      <c r="A36" s="68">
        <v>1528</v>
      </c>
      <c r="B36" s="50">
        <v>0.9454430598958334</v>
      </c>
      <c r="C36" s="50">
        <v>0.9029512369791667</v>
      </c>
      <c r="D36" s="30">
        <v>0.6392866284811377</v>
      </c>
      <c r="F36" s="35">
        <v>2</v>
      </c>
      <c r="G36" s="35">
        <v>1.9101123595505616</v>
      </c>
      <c r="H36" s="35">
        <v>1.3523535273537737</v>
      </c>
      <c r="J36" s="72">
        <v>54</v>
      </c>
      <c r="K36" s="72">
        <v>42</v>
      </c>
      <c r="L36" s="72">
        <v>76</v>
      </c>
      <c r="M36" s="72">
        <v>80</v>
      </c>
      <c r="N36" s="72">
        <v>119</v>
      </c>
    </row>
    <row r="37" spans="1:14" ht="12.75">
      <c r="A37" s="68">
        <v>1529</v>
      </c>
      <c r="B37" s="50">
        <v>0.9454430598958334</v>
      </c>
      <c r="C37" s="50">
        <v>0.9029512369791667</v>
      </c>
      <c r="D37" s="30">
        <v>0.6392866284811377</v>
      </c>
      <c r="F37" s="35">
        <v>2</v>
      </c>
      <c r="G37" s="35">
        <v>1.9101123595505616</v>
      </c>
      <c r="H37" s="35">
        <v>1.3523535273537737</v>
      </c>
      <c r="J37" s="72">
        <v>54</v>
      </c>
      <c r="K37" s="72">
        <v>42</v>
      </c>
      <c r="L37" s="72">
        <v>76</v>
      </c>
      <c r="M37" s="72">
        <v>80</v>
      </c>
      <c r="N37" s="72">
        <v>119</v>
      </c>
    </row>
    <row r="38" spans="1:14" ht="12.75">
      <c r="A38" s="68">
        <v>1530</v>
      </c>
      <c r="B38" s="50">
        <v>0.9454430598958334</v>
      </c>
      <c r="C38" s="50">
        <v>0.9029512369791667</v>
      </c>
      <c r="D38" s="30">
        <v>0.6392866284811377</v>
      </c>
      <c r="F38" s="35">
        <v>2</v>
      </c>
      <c r="G38" s="35">
        <v>1.9101123595505616</v>
      </c>
      <c r="H38" s="35">
        <v>1.3523535273537737</v>
      </c>
      <c r="J38" s="72">
        <v>54</v>
      </c>
      <c r="K38" s="72">
        <v>42</v>
      </c>
      <c r="L38" s="72">
        <v>76</v>
      </c>
      <c r="M38" s="72">
        <v>80</v>
      </c>
      <c r="N38" s="72">
        <v>119</v>
      </c>
    </row>
    <row r="39" spans="1:14" ht="12.75">
      <c r="A39" s="68">
        <v>1531</v>
      </c>
      <c r="B39" s="50">
        <v>0.9454430598958334</v>
      </c>
      <c r="C39" s="50">
        <v>0.9029512369791667</v>
      </c>
      <c r="D39" s="30">
        <v>0.6392866284811377</v>
      </c>
      <c r="F39" s="35">
        <v>2</v>
      </c>
      <c r="G39" s="35">
        <v>1.9101123595505616</v>
      </c>
      <c r="H39" s="35">
        <v>1.3523535273537737</v>
      </c>
      <c r="J39" s="72">
        <v>54</v>
      </c>
      <c r="K39" s="72">
        <v>42</v>
      </c>
      <c r="L39" s="72">
        <v>76</v>
      </c>
      <c r="M39" s="72">
        <v>80</v>
      </c>
      <c r="N39" s="72">
        <v>119</v>
      </c>
    </row>
    <row r="40" spans="1:14" ht="12.75">
      <c r="A40" s="68">
        <v>1532</v>
      </c>
      <c r="B40" s="50">
        <v>0.9454430598958334</v>
      </c>
      <c r="C40" s="50">
        <v>0.9029512369791667</v>
      </c>
      <c r="D40" s="30">
        <v>0.6392866284811377</v>
      </c>
      <c r="F40" s="35">
        <v>2</v>
      </c>
      <c r="G40" s="35">
        <v>1.9101123595505616</v>
      </c>
      <c r="H40" s="35">
        <v>1.3523535273537737</v>
      </c>
      <c r="J40" s="72">
        <v>54</v>
      </c>
      <c r="K40" s="72">
        <v>42</v>
      </c>
      <c r="L40" s="72">
        <v>76</v>
      </c>
      <c r="M40" s="72">
        <v>80</v>
      </c>
      <c r="N40" s="72">
        <v>119</v>
      </c>
    </row>
    <row r="41" spans="1:14" ht="12.75">
      <c r="A41" s="68">
        <v>1533</v>
      </c>
      <c r="B41" s="50">
        <v>0.9454430598958334</v>
      </c>
      <c r="C41" s="50">
        <v>0.9029512369791667</v>
      </c>
      <c r="D41" s="30">
        <v>0.6392866284811377</v>
      </c>
      <c r="F41" s="35">
        <v>2</v>
      </c>
      <c r="G41" s="35">
        <v>1.9101123595505616</v>
      </c>
      <c r="H41" s="35">
        <v>1.3523535273537737</v>
      </c>
      <c r="J41" s="72">
        <v>54</v>
      </c>
      <c r="K41" s="72">
        <v>42</v>
      </c>
      <c r="L41" s="72">
        <v>76</v>
      </c>
      <c r="M41" s="72">
        <v>80</v>
      </c>
      <c r="N41" s="72">
        <v>119</v>
      </c>
    </row>
    <row r="42" spans="1:14" ht="12.75">
      <c r="A42" s="68">
        <v>1534</v>
      </c>
      <c r="B42" s="50">
        <v>0.9454430598958334</v>
      </c>
      <c r="C42" s="50">
        <v>0.9029512369791667</v>
      </c>
      <c r="D42" s="30">
        <v>0.6392866284811377</v>
      </c>
      <c r="F42" s="35">
        <v>2</v>
      </c>
      <c r="G42" s="35">
        <v>1.9101123595505616</v>
      </c>
      <c r="H42" s="35">
        <v>1.3523535273537737</v>
      </c>
      <c r="J42" s="72">
        <v>54</v>
      </c>
      <c r="K42" s="72">
        <v>42</v>
      </c>
      <c r="L42" s="72">
        <v>76</v>
      </c>
      <c r="M42" s="72">
        <v>80</v>
      </c>
      <c r="N42" s="72">
        <v>119</v>
      </c>
    </row>
    <row r="43" spans="1:14" ht="12.75">
      <c r="A43" s="68">
        <v>1535</v>
      </c>
      <c r="B43" s="50">
        <v>0.9454430598958334</v>
      </c>
      <c r="C43" s="50">
        <v>0.9029512369791667</v>
      </c>
      <c r="D43" s="30">
        <v>0.6392866284811377</v>
      </c>
      <c r="F43" s="35">
        <v>2</v>
      </c>
      <c r="G43" s="35">
        <v>1.9101123595505616</v>
      </c>
      <c r="H43" s="35">
        <v>1.3523535273537737</v>
      </c>
      <c r="J43" s="72">
        <v>54</v>
      </c>
      <c r="K43" s="72">
        <v>42</v>
      </c>
      <c r="L43" s="72">
        <v>76</v>
      </c>
      <c r="M43" s="72">
        <v>80</v>
      </c>
      <c r="N43" s="72">
        <v>119</v>
      </c>
    </row>
    <row r="44" spans="1:14" ht="12.75">
      <c r="A44" s="68">
        <v>1536</v>
      </c>
      <c r="B44" s="50">
        <v>0.9454430598958334</v>
      </c>
      <c r="C44" s="50">
        <v>0.9029512369791667</v>
      </c>
      <c r="D44" s="30">
        <v>0.6392866284811377</v>
      </c>
      <c r="F44" s="35">
        <v>2</v>
      </c>
      <c r="G44" s="35">
        <v>1.9101123595505616</v>
      </c>
      <c r="H44" s="35">
        <v>1.3523535273537737</v>
      </c>
      <c r="J44" s="72">
        <v>54</v>
      </c>
      <c r="K44" s="72">
        <v>42</v>
      </c>
      <c r="L44" s="72">
        <v>76</v>
      </c>
      <c r="M44" s="72">
        <v>80</v>
      </c>
      <c r="N44" s="72">
        <v>119</v>
      </c>
    </row>
    <row r="45" spans="1:14" ht="12.75">
      <c r="A45" s="68">
        <v>1537</v>
      </c>
      <c r="B45" s="50">
        <v>0.9454430598958334</v>
      </c>
      <c r="C45" s="50">
        <v>0.9029512369791667</v>
      </c>
      <c r="D45" s="30">
        <v>0.6392866284811377</v>
      </c>
      <c r="F45" s="35">
        <v>2</v>
      </c>
      <c r="G45" s="35">
        <v>1.9101123595505616</v>
      </c>
      <c r="H45" s="35">
        <v>1.3523535273537737</v>
      </c>
      <c r="J45" s="72">
        <v>54</v>
      </c>
      <c r="K45" s="72">
        <v>42</v>
      </c>
      <c r="L45" s="72">
        <v>76</v>
      </c>
      <c r="M45" s="72">
        <v>80</v>
      </c>
      <c r="N45" s="72">
        <v>119</v>
      </c>
    </row>
    <row r="46" spans="1:14" ht="12.75">
      <c r="A46" s="68">
        <v>1538</v>
      </c>
      <c r="B46" s="50">
        <v>0.9454430598958334</v>
      </c>
      <c r="C46" s="50">
        <v>0.9029512369791667</v>
      </c>
      <c r="D46" s="30">
        <v>0.6392866284811377</v>
      </c>
      <c r="F46" s="35">
        <v>2</v>
      </c>
      <c r="G46" s="35">
        <v>1.9101123595505616</v>
      </c>
      <c r="H46" s="35">
        <v>1.3523535273537737</v>
      </c>
      <c r="J46" s="72">
        <v>54</v>
      </c>
      <c r="K46" s="72">
        <v>42</v>
      </c>
      <c r="L46" s="72">
        <v>76</v>
      </c>
      <c r="M46" s="72">
        <v>80</v>
      </c>
      <c r="N46" s="72">
        <v>119</v>
      </c>
    </row>
    <row r="47" spans="1:14" ht="12.75">
      <c r="A47" s="68">
        <v>1539</v>
      </c>
      <c r="B47" s="50">
        <v>0.9454430598958334</v>
      </c>
      <c r="C47" s="50">
        <v>0.9029512369791667</v>
      </c>
      <c r="D47" s="30">
        <v>0.6392866284811377</v>
      </c>
      <c r="F47" s="35">
        <v>2</v>
      </c>
      <c r="G47" s="35">
        <v>1.9101123595505616</v>
      </c>
      <c r="H47" s="35">
        <v>1.3523535273537737</v>
      </c>
      <c r="J47" s="72">
        <v>54</v>
      </c>
      <c r="K47" s="72">
        <v>42</v>
      </c>
      <c r="L47" s="72">
        <v>76</v>
      </c>
      <c r="M47" s="72">
        <v>80</v>
      </c>
      <c r="N47" s="72">
        <v>119</v>
      </c>
    </row>
    <row r="48" spans="1:14" ht="12.75">
      <c r="A48" s="68">
        <v>1540</v>
      </c>
      <c r="B48" s="50">
        <v>0.9454430598958334</v>
      </c>
      <c r="C48" s="50">
        <v>0.885246310763889</v>
      </c>
      <c r="D48" s="30">
        <v>0.6392866284811377</v>
      </c>
      <c r="F48" s="35">
        <v>2</v>
      </c>
      <c r="G48" s="35">
        <v>1.8726591760299627</v>
      </c>
      <c r="H48" s="35">
        <v>1.3523535273537737</v>
      </c>
      <c r="J48" s="72">
        <v>54</v>
      </c>
      <c r="K48" s="72">
        <v>42</v>
      </c>
      <c r="L48" s="72">
        <v>76</v>
      </c>
      <c r="M48" s="72">
        <v>80</v>
      </c>
      <c r="N48" s="72">
        <v>119</v>
      </c>
    </row>
    <row r="52" spans="18:19" ht="12.75">
      <c r="R52" s="30">
        <v>1.6996729166666669</v>
      </c>
      <c r="S52" t="s">
        <v>310</v>
      </c>
    </row>
    <row r="53" ht="12.75">
      <c r="R53" s="30"/>
    </row>
    <row r="54" spans="18:19" ht="12.75">
      <c r="R54" s="30">
        <v>2.193496804617117</v>
      </c>
      <c r="S54" t="s">
        <v>311</v>
      </c>
    </row>
    <row r="56" ht="12.75">
      <c r="R56">
        <f>R54/R52*42</f>
        <v>54.202702702702695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9" sqref="K9"/>
    </sheetView>
  </sheetViews>
  <sheetFormatPr defaultColWidth="9.140625" defaultRowHeight="12.75"/>
  <cols>
    <col min="2" max="2" width="8.421875" style="0" customWidth="1"/>
  </cols>
  <sheetData>
    <row r="1" ht="12.75">
      <c r="C1" s="31" t="s">
        <v>312</v>
      </c>
    </row>
    <row r="4" spans="1:7" ht="12.75">
      <c r="A4" s="68" t="s">
        <v>313</v>
      </c>
      <c r="B4" s="31" t="s">
        <v>314</v>
      </c>
      <c r="C4" s="35"/>
      <c r="D4" s="75"/>
      <c r="G4" s="35"/>
    </row>
    <row r="5" spans="1:7" ht="12.75">
      <c r="A5" s="68"/>
      <c r="B5" t="s">
        <v>315</v>
      </c>
      <c r="C5" s="35">
        <v>2.093023256541962</v>
      </c>
      <c r="D5" s="67"/>
      <c r="E5" s="75"/>
      <c r="G5" s="35"/>
    </row>
    <row r="6" spans="1:7" ht="12.75">
      <c r="A6" s="68"/>
      <c r="B6" t="s">
        <v>316</v>
      </c>
      <c r="C6" s="35">
        <v>1.8478260875992438</v>
      </c>
      <c r="D6" s="67"/>
      <c r="E6" s="75"/>
      <c r="G6" s="35"/>
    </row>
    <row r="7" spans="1:7" ht="12.75">
      <c r="A7" s="68"/>
      <c r="B7" t="s">
        <v>317</v>
      </c>
      <c r="C7" s="35">
        <v>1.9101123595505616</v>
      </c>
      <c r="D7" s="67"/>
      <c r="E7" s="75"/>
      <c r="G7" s="35"/>
    </row>
    <row r="8" spans="1:7" ht="12.75">
      <c r="A8" s="68"/>
      <c r="B8" t="s">
        <v>318</v>
      </c>
      <c r="C8" s="35">
        <v>1.8726591760299627</v>
      </c>
      <c r="E8" s="75"/>
      <c r="G8" s="35"/>
    </row>
    <row r="9" spans="1:7" ht="12.75">
      <c r="A9" s="68"/>
      <c r="C9" s="35"/>
      <c r="G9" s="35"/>
    </row>
    <row r="10" spans="1:7" ht="12.75">
      <c r="A10" s="68" t="s">
        <v>319</v>
      </c>
      <c r="B10" s="31" t="s">
        <v>320</v>
      </c>
      <c r="C10" s="35"/>
      <c r="D10" s="75"/>
      <c r="G10" s="35"/>
    </row>
    <row r="11" spans="1:7" ht="12.75">
      <c r="A11" s="68"/>
      <c r="B11" t="s">
        <v>321</v>
      </c>
      <c r="C11" s="35">
        <v>1.4719322852953145</v>
      </c>
      <c r="D11" s="67"/>
      <c r="E11" s="75"/>
      <c r="G11" s="35"/>
    </row>
    <row r="12" spans="1:7" ht="12.75">
      <c r="A12" s="68"/>
      <c r="B12" t="s">
        <v>322</v>
      </c>
      <c r="C12" s="35">
        <v>1.5215479797760347</v>
      </c>
      <c r="D12" s="67"/>
      <c r="E12" s="75"/>
      <c r="G12" s="35"/>
    </row>
    <row r="13" spans="1:7" ht="12.75">
      <c r="A13" s="68"/>
      <c r="B13" t="s">
        <v>323</v>
      </c>
      <c r="C13" s="35">
        <v>1.3523535273537737</v>
      </c>
      <c r="D13" s="67"/>
      <c r="E13" s="75"/>
      <c r="G13" s="35"/>
    </row>
    <row r="14" spans="1:7" ht="12.75">
      <c r="A14" s="68"/>
      <c r="C14" s="35"/>
      <c r="E14" s="75"/>
      <c r="G14" s="35"/>
    </row>
    <row r="15" spans="1:7" ht="12.75">
      <c r="A15" s="68" t="s">
        <v>324</v>
      </c>
      <c r="B15" s="31" t="s">
        <v>325</v>
      </c>
      <c r="C15" s="35"/>
      <c r="E15" s="75"/>
      <c r="G15" s="35"/>
    </row>
    <row r="16" spans="1:7" ht="12.75">
      <c r="A16" s="68"/>
      <c r="B16" t="s">
        <v>321</v>
      </c>
      <c r="C16" s="35">
        <v>50</v>
      </c>
      <c r="D16" s="75"/>
      <c r="E16" s="75"/>
      <c r="G16" s="35"/>
    </row>
    <row r="17" spans="2:7" ht="12.75">
      <c r="B17" t="s">
        <v>326</v>
      </c>
      <c r="C17" s="35">
        <v>54</v>
      </c>
      <c r="D17" s="75"/>
      <c r="E17" s="75" t="s">
        <v>327</v>
      </c>
      <c r="G17" s="35"/>
    </row>
    <row r="18" spans="3:7" ht="12.75">
      <c r="C18" s="35"/>
      <c r="D18" s="75"/>
      <c r="G18" s="35"/>
    </row>
    <row r="19" spans="1:7" ht="12.75">
      <c r="A19" s="68" t="s">
        <v>328</v>
      </c>
      <c r="B19" s="31" t="s">
        <v>329</v>
      </c>
      <c r="C19" s="35"/>
      <c r="D19" s="75"/>
      <c r="G19" s="35"/>
    </row>
    <row r="20" spans="1:7" ht="12.75">
      <c r="A20" s="68"/>
      <c r="B20" t="s">
        <v>330</v>
      </c>
      <c r="C20" s="35">
        <v>42</v>
      </c>
      <c r="D20" s="75"/>
      <c r="E20" s="75" t="s">
        <v>331</v>
      </c>
      <c r="G20" s="35"/>
    </row>
    <row r="21" spans="1:7" ht="12.75">
      <c r="A21" s="68"/>
      <c r="C21" s="35"/>
      <c r="D21" s="75"/>
      <c r="E21" s="75"/>
      <c r="G21" s="35"/>
    </row>
    <row r="22" spans="1:7" ht="12.75">
      <c r="A22" s="68" t="s">
        <v>332</v>
      </c>
      <c r="B22" s="31" t="s">
        <v>333</v>
      </c>
      <c r="C22" s="35"/>
      <c r="D22" s="75"/>
      <c r="E22" s="75"/>
      <c r="G22" s="35"/>
    </row>
    <row r="23" spans="1:7" ht="12.75">
      <c r="A23" s="68"/>
      <c r="B23" t="s">
        <v>315</v>
      </c>
      <c r="C23" s="35">
        <v>71</v>
      </c>
      <c r="D23" s="75"/>
      <c r="E23" s="75"/>
      <c r="F23" s="30">
        <v>3.36899453125</v>
      </c>
      <c r="G23" s="35" t="s">
        <v>334</v>
      </c>
    </row>
    <row r="24" spans="1:7" ht="12.75">
      <c r="A24" s="68"/>
      <c r="B24" t="s">
        <v>316</v>
      </c>
      <c r="C24" s="35">
        <v>72</v>
      </c>
      <c r="D24" s="75"/>
      <c r="E24" s="75"/>
      <c r="F24" s="30">
        <v>3.2448301136363638</v>
      </c>
      <c r="G24" s="35" t="s">
        <v>334</v>
      </c>
    </row>
    <row r="25" spans="1:7" ht="12.75">
      <c r="A25" s="68"/>
      <c r="B25" t="s">
        <v>330</v>
      </c>
      <c r="C25" s="35">
        <v>76</v>
      </c>
      <c r="D25" s="75"/>
      <c r="E25" s="75"/>
      <c r="F25" s="30">
        <v>3.2958528688524593</v>
      </c>
      <c r="G25" s="35" t="s">
        <v>334</v>
      </c>
    </row>
    <row r="26" spans="1:7" ht="12.75">
      <c r="A26" s="68"/>
      <c r="C26" s="35"/>
      <c r="D26" s="75"/>
      <c r="E26" s="75"/>
      <c r="G26" s="35"/>
    </row>
    <row r="27" spans="1:7" ht="12.75">
      <c r="A27" s="68" t="s">
        <v>335</v>
      </c>
      <c r="B27" s="31" t="s">
        <v>336</v>
      </c>
      <c r="C27" s="35"/>
      <c r="D27" s="75"/>
      <c r="E27" s="75"/>
      <c r="G27" s="35"/>
    </row>
    <row r="28" spans="1:7" ht="12.75">
      <c r="A28" s="68"/>
      <c r="B28" t="s">
        <v>321</v>
      </c>
      <c r="C28" s="35">
        <v>79</v>
      </c>
      <c r="D28" s="75"/>
      <c r="E28" s="75"/>
      <c r="F28">
        <v>3.559</v>
      </c>
      <c r="G28" s="35" t="s">
        <v>334</v>
      </c>
    </row>
    <row r="29" spans="1:7" ht="12.75">
      <c r="A29" s="68"/>
      <c r="B29" t="s">
        <v>330</v>
      </c>
      <c r="C29" s="35">
        <v>80</v>
      </c>
      <c r="D29" s="75"/>
      <c r="E29" s="75"/>
      <c r="F29">
        <v>3.559</v>
      </c>
      <c r="G29" s="35" t="s">
        <v>334</v>
      </c>
    </row>
    <row r="30" spans="1:7" ht="12.75">
      <c r="A30" s="68"/>
      <c r="C30" s="35"/>
      <c r="D30" s="75"/>
      <c r="E30" s="75"/>
      <c r="G30" s="35"/>
    </row>
    <row r="31" spans="1:7" ht="12.75">
      <c r="A31" s="68" t="s">
        <v>337</v>
      </c>
      <c r="B31" s="31" t="s">
        <v>338</v>
      </c>
      <c r="C31" s="35"/>
      <c r="D31" s="75"/>
      <c r="E31" s="75"/>
      <c r="G31" s="35"/>
    </row>
    <row r="32" spans="1:7" ht="12.75">
      <c r="A32" s="68"/>
      <c r="B32" t="s">
        <v>321</v>
      </c>
      <c r="C32" s="35">
        <v>116</v>
      </c>
      <c r="D32" s="75"/>
      <c r="E32" s="75"/>
      <c r="F32" s="28">
        <v>5.156917469135802</v>
      </c>
      <c r="G32" s="35" t="s">
        <v>334</v>
      </c>
    </row>
    <row r="33" spans="1:7" ht="12.75">
      <c r="A33" s="68"/>
      <c r="B33" t="s">
        <v>339</v>
      </c>
      <c r="C33" s="35">
        <v>119</v>
      </c>
      <c r="D33" s="75"/>
      <c r="E33" s="75"/>
      <c r="F33" s="28">
        <v>5.156917469135802</v>
      </c>
      <c r="G33" s="35" t="s">
        <v>334</v>
      </c>
    </row>
    <row r="34" spans="1:7" ht="12.75">
      <c r="A34" s="68"/>
      <c r="B34" t="s">
        <v>340</v>
      </c>
      <c r="C34" s="35">
        <v>119</v>
      </c>
      <c r="D34" s="75"/>
      <c r="E34" s="75"/>
      <c r="F34" s="28">
        <v>5.156917469135802</v>
      </c>
      <c r="G34" s="35" t="s">
        <v>334</v>
      </c>
    </row>
    <row r="35" spans="1:7" ht="12.75">
      <c r="A35" s="68"/>
      <c r="C35" s="35"/>
      <c r="D35" s="75"/>
      <c r="E35" s="75"/>
      <c r="F35" s="76"/>
      <c r="G35" s="3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History Department </dc:creator>
  <cp:keywords/>
  <dc:description/>
  <cp:lastModifiedBy>History Department </cp:lastModifiedBy>
  <dcterms:created xsi:type="dcterms:W3CDTF">2001-06-06T14:31:30Z</dcterms:created>
  <dcterms:modified xsi:type="dcterms:W3CDTF">2001-06-06T16:41:39Z</dcterms:modified>
  <cp:category/>
  <cp:version/>
  <cp:contentType/>
  <cp:contentStatus/>
</cp:coreProperties>
</file>